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85" yWindow="255" windowWidth="14370" windowHeight="11295" tabRatio="743" firstSheet="1" activeTab="3"/>
  </bookViews>
  <sheets>
    <sheet name="Sheet1" sheetId="1" r:id="rId1"/>
    <sheet name="政務調査費出納簿" sheetId="2" r:id="rId2"/>
    <sheet name="収支報告書" sheetId="3" r:id="rId3"/>
    <sheet name="支出内訳書" sheetId="4" r:id="rId4"/>
    <sheet name="項目別金額合計表" sheetId="5" r:id="rId5"/>
    <sheet name="その他の経費（上限対象分）集計表" sheetId="6" r:id="rId6"/>
  </sheets>
  <definedNames>
    <definedName name="_xlnm._FilterDatabase" localSheetId="1" hidden="1">'政務調査費出納簿'!$J$1:$J$312</definedName>
    <definedName name="_xlnm.Print_Area" localSheetId="4">'項目別金額合計表'!$A$1:$G$660</definedName>
    <definedName name="_xlnm.Print_Area" localSheetId="3">'支出内訳書'!$A$1:$D$90</definedName>
    <definedName name="_xlnm.Print_Titles" localSheetId="1">'政務調査費出納簿'!$1:$1</definedName>
  </definedNames>
  <calcPr fullCalcOnLoad="1"/>
</workbook>
</file>

<file path=xl/sharedStrings.xml><?xml version="1.0" encoding="utf-8"?>
<sst xmlns="http://schemas.openxmlformats.org/spreadsheetml/2006/main" count="438" uniqueCount="158">
  <si>
    <t>円</t>
  </si>
  <si>
    <t>確認日</t>
  </si>
  <si>
    <t>項　　目</t>
  </si>
  <si>
    <t>１．収　入</t>
  </si>
  <si>
    <t>２．支　出</t>
  </si>
  <si>
    <t>政務調査費</t>
  </si>
  <si>
    <t>様式第4号（第8条関係）</t>
  </si>
  <si>
    <t>枚方市議会議長　様</t>
  </si>
  <si>
    <t>政務調査費収支報告書</t>
  </si>
  <si>
    <t>平成</t>
  </si>
  <si>
    <t>３．残　額</t>
  </si>
  <si>
    <t>年</t>
  </si>
  <si>
    <t>月</t>
  </si>
  <si>
    <t>日</t>
  </si>
  <si>
    <t>枚方市議会議員</t>
  </si>
  <si>
    <t>年度分の政務調査費に係る収入及び支出について報告します。</t>
  </si>
  <si>
    <t>記</t>
  </si>
  <si>
    <t>確認印</t>
  </si>
  <si>
    <t>研究研修費</t>
  </si>
  <si>
    <t>調査旅費</t>
  </si>
  <si>
    <t>資料作成費</t>
  </si>
  <si>
    <t>資料購入費</t>
  </si>
  <si>
    <t>人件費</t>
  </si>
  <si>
    <t>事務所費</t>
  </si>
  <si>
    <t>会派共用費</t>
  </si>
  <si>
    <t>その他の経費</t>
  </si>
  <si>
    <t>金　　額</t>
  </si>
  <si>
    <t>備　　考</t>
  </si>
  <si>
    <t>合計</t>
  </si>
  <si>
    <t>確認欄</t>
  </si>
  <si>
    <t>議　長</t>
  </si>
  <si>
    <t>㊞</t>
  </si>
  <si>
    <t>枚方市議会議員に対する政務調査費の交付に関する条例第7条第1項の規定により、下記のとおり</t>
  </si>
  <si>
    <t>内　　　容</t>
  </si>
  <si>
    <t>その他</t>
  </si>
  <si>
    <t>金　額</t>
  </si>
  <si>
    <t>研究研修費</t>
  </si>
  <si>
    <t>調査旅費</t>
  </si>
  <si>
    <t>資料作成費</t>
  </si>
  <si>
    <t>資料購入費</t>
  </si>
  <si>
    <t>広報費</t>
  </si>
  <si>
    <t>広聴費</t>
  </si>
  <si>
    <t>人件費</t>
  </si>
  <si>
    <t>事務所費</t>
  </si>
  <si>
    <t>会派共用費</t>
  </si>
  <si>
    <t>その他の経費</t>
  </si>
  <si>
    <t>交付金</t>
  </si>
  <si>
    <t>収入金額</t>
  </si>
  <si>
    <t>支出金額</t>
  </si>
  <si>
    <t>残高</t>
  </si>
  <si>
    <t>領収書№</t>
  </si>
  <si>
    <t>使途項目</t>
  </si>
  <si>
    <t>7月～9月分政務調査費</t>
  </si>
  <si>
    <t>10月～12月分政務調査費</t>
  </si>
  <si>
    <t>1月～3月分政務調査費</t>
  </si>
  <si>
    <t>小計</t>
  </si>
  <si>
    <t>計</t>
  </si>
  <si>
    <t>4月～6月分政務調査費</t>
  </si>
  <si>
    <t>摘　　　　要</t>
  </si>
  <si>
    <t>使途項目名</t>
  </si>
  <si>
    <r>
      <t>その他の経費</t>
    </r>
    <r>
      <rPr>
        <sz val="16"/>
        <rFont val="ＭＳ 明朝"/>
        <family val="1"/>
      </rPr>
      <t>の主たる支出内訳</t>
    </r>
  </si>
  <si>
    <r>
      <t>会派共用費</t>
    </r>
    <r>
      <rPr>
        <sz val="16"/>
        <rFont val="ＭＳ 明朝"/>
        <family val="1"/>
      </rPr>
      <t>の主たる支出内訳</t>
    </r>
  </si>
  <si>
    <r>
      <t>事務所費</t>
    </r>
    <r>
      <rPr>
        <sz val="16"/>
        <rFont val="ＭＳ 明朝"/>
        <family val="1"/>
      </rPr>
      <t>の主たる支出内訳</t>
    </r>
  </si>
  <si>
    <r>
      <t>人件費</t>
    </r>
    <r>
      <rPr>
        <sz val="16"/>
        <rFont val="ＭＳ 明朝"/>
        <family val="1"/>
      </rPr>
      <t>の主たる支出内訳</t>
    </r>
  </si>
  <si>
    <r>
      <t>資料購入費</t>
    </r>
    <r>
      <rPr>
        <sz val="16"/>
        <rFont val="ＭＳ 明朝"/>
        <family val="1"/>
      </rPr>
      <t>の主たる支出内訳</t>
    </r>
  </si>
  <si>
    <r>
      <t>資料作成費</t>
    </r>
    <r>
      <rPr>
        <sz val="16"/>
        <rFont val="ＭＳ 明朝"/>
        <family val="1"/>
      </rPr>
      <t>の主たる支出内訳</t>
    </r>
  </si>
  <si>
    <r>
      <t>調査旅費</t>
    </r>
    <r>
      <rPr>
        <sz val="16"/>
        <rFont val="ＭＳ 明朝"/>
        <family val="1"/>
      </rPr>
      <t>の主たる支出内訳</t>
    </r>
  </si>
  <si>
    <r>
      <t>研究研修費</t>
    </r>
    <r>
      <rPr>
        <sz val="16"/>
        <rFont val="ＭＳ 明朝"/>
        <family val="1"/>
      </rPr>
      <t>の主たる支出内訳</t>
    </r>
  </si>
  <si>
    <r>
      <t>広報費</t>
    </r>
    <r>
      <rPr>
        <sz val="16"/>
        <rFont val="ＭＳ 明朝"/>
        <family val="1"/>
      </rPr>
      <t>の主たる支出内訳</t>
    </r>
  </si>
  <si>
    <t>広報費</t>
  </si>
  <si>
    <t>広聴費</t>
  </si>
  <si>
    <r>
      <t>広聴費</t>
    </r>
    <r>
      <rPr>
        <sz val="16"/>
        <rFont val="ＭＳ 明朝"/>
        <family val="1"/>
      </rPr>
      <t>の主たる支出内訳</t>
    </r>
  </si>
  <si>
    <r>
      <t>規定外様式第</t>
    </r>
    <r>
      <rPr>
        <sz val="11"/>
        <rFont val="Century"/>
        <family val="1"/>
      </rPr>
      <t>5</t>
    </r>
    <r>
      <rPr>
        <sz val="11"/>
        <rFont val="ＭＳ 明朝"/>
        <family val="1"/>
      </rPr>
      <t>号</t>
    </r>
  </si>
  <si>
    <t>政務調査費項目別金額合計表</t>
  </si>
  <si>
    <t>項　　　目</t>
  </si>
  <si>
    <t>金　　　額</t>
  </si>
  <si>
    <r>
      <t>[</t>
    </r>
    <r>
      <rPr>
        <sz val="11"/>
        <rFont val="ＭＳ 明朝"/>
        <family val="1"/>
      </rPr>
      <t>領収書添付欄</t>
    </r>
    <r>
      <rPr>
        <sz val="11"/>
        <rFont val="Century"/>
        <family val="1"/>
      </rPr>
      <t>]</t>
    </r>
  </si>
  <si>
    <t>合計</t>
  </si>
  <si>
    <t>電話代</t>
  </si>
  <si>
    <t>ガソリン代</t>
  </si>
  <si>
    <t>駐車場代</t>
  </si>
  <si>
    <t>月分</t>
  </si>
  <si>
    <t>上限5万円対象項目</t>
  </si>
  <si>
    <t>郵便関係</t>
  </si>
  <si>
    <t>交通費関係</t>
  </si>
  <si>
    <t>コード</t>
  </si>
  <si>
    <t>4月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</si>
  <si>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</si>
  <si>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</si>
  <si>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</si>
  <si>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</si>
  <si>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</si>
  <si>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</si>
  <si>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</si>
  <si>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</si>
  <si>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</si>
  <si>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</si>
  <si>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</si>
  <si>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</si>
  <si>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5万円超</t>
  </si>
  <si>
    <t>計上金額</t>
  </si>
  <si>
    <t>(単位　円）</t>
  </si>
  <si>
    <t>項目</t>
  </si>
  <si>
    <t>議員</t>
  </si>
  <si>
    <t>その他の経費の内、上限（5万円）のある項目集計</t>
  </si>
  <si>
    <t>＊「その他の経費（上限対象分）集計表」に反映</t>
  </si>
  <si>
    <t>その他の経費（上限対象分）　集計表</t>
  </si>
  <si>
    <t>上限対象外</t>
  </si>
  <si>
    <t>上限対象外
その他経費</t>
  </si>
  <si>
    <t xml:space="preserve">
電話代
①</t>
  </si>
  <si>
    <t xml:space="preserve">
ガソリン代
②</t>
  </si>
  <si>
    <t xml:space="preserve">
駐車場代
③</t>
  </si>
  <si>
    <t xml:space="preserve">
郵便関係
④</t>
  </si>
  <si>
    <t xml:space="preserve">
交通費関係
⑤</t>
  </si>
  <si>
    <t>50，000円　　　を超える分
⑦</t>
  </si>
  <si>
    <t>対象分
計上額
⑥-⑦</t>
  </si>
  <si>
    <t>＊⑦の額（5万円を超える分）を各月分ごとに出納簿にマイナス支出で入力することによって、「収支報告書」の”その他の経費”欄には”対象分計上額”と”上限対象外その他経費”の合計額が計上されます。</t>
  </si>
  <si>
    <r>
      <t>上限対象計
（</t>
    </r>
    <r>
      <rPr>
        <sz val="9"/>
        <rFont val="ＭＳ Ｐゴシック"/>
        <family val="3"/>
      </rPr>
      <t>①～⑤）
⑥</t>
    </r>
  </si>
  <si>
    <t>収支報告書計上額</t>
  </si>
  <si>
    <t>議員名</t>
  </si>
  <si>
    <t>朝日新聞購読料</t>
  </si>
  <si>
    <t>電話料金</t>
  </si>
  <si>
    <t>携帯電話料金</t>
  </si>
  <si>
    <t>ＨＰなど作成料</t>
  </si>
  <si>
    <t>Ｋカード</t>
  </si>
  <si>
    <t>乾電池</t>
  </si>
  <si>
    <t>書籍</t>
  </si>
  <si>
    <t>カードリーダー</t>
  </si>
  <si>
    <t>プリンタ用紙</t>
  </si>
  <si>
    <t>ウィルスソフト</t>
  </si>
  <si>
    <t>郵便料金</t>
  </si>
  <si>
    <t>京都市民オンブズパーソン会費</t>
  </si>
  <si>
    <t>ドメイン料</t>
  </si>
  <si>
    <t>タクシー料金</t>
  </si>
  <si>
    <t>全国市町村振興協会会費</t>
  </si>
  <si>
    <t>印刷・ポスティング料金</t>
  </si>
  <si>
    <t>メセナひらかた使用料金</t>
  </si>
  <si>
    <t>コピー使用料</t>
  </si>
  <si>
    <t>鳥取自立塾交流会参加料</t>
  </si>
  <si>
    <t>鳥取自立塾受講料</t>
  </si>
  <si>
    <t>自治体議員勉強会費</t>
  </si>
  <si>
    <t>枚方市人権を考える市民の会会費</t>
  </si>
  <si>
    <t>ＡＧＯＲＡ購読料</t>
  </si>
  <si>
    <t>議員用駐車場代</t>
  </si>
  <si>
    <t>メモリーカード</t>
  </si>
  <si>
    <t>高橋伸介</t>
  </si>
  <si>
    <t>鳥取自立塾交流会参加料</t>
  </si>
  <si>
    <t>自治体議員勉強会費</t>
  </si>
  <si>
    <t>アゴラ購読料</t>
  </si>
  <si>
    <t>京都市民オンブズパーソン資料</t>
  </si>
  <si>
    <t>印刷ポスティング</t>
  </si>
  <si>
    <t>同じ</t>
  </si>
  <si>
    <t>ホームページなど作成費</t>
  </si>
  <si>
    <t>カードリーダー</t>
  </si>
  <si>
    <t>ウイルスソフト</t>
  </si>
  <si>
    <t>ケイタイ及び一般電話料金</t>
  </si>
  <si>
    <t>京阪Kカード</t>
  </si>
  <si>
    <t>議員駐車料代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</si>
</sst>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;[Red]\-#,###"/>
    <numFmt numFmtId="181" formatCode="#,##0;&quot;△ &quot;#,##0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9"/>
      <name val="MS UI Gothic"/>
      <family val="3"/>
    </font>
    <font>
      <b/>
      <sz val="16"/>
      <name val="ＭＳ 明朝"/>
      <family val="1"/>
    </font>
    <font>
      <sz val="11"/>
      <name val="Century"/>
      <family val="1"/>
    </font>
    <font>
      <sz val="12"/>
      <name val="ＭＳ 明朝"/>
      <family val="1"/>
    </font>
    <font>
      <sz val="24"/>
      <name val="ＭＳ 明朝"/>
      <family val="1"/>
    </font>
    <font>
      <b/>
      <sz val="12"/>
      <name val="ＭＳ ゴシック"/>
      <family val="3"/>
    </font>
    <font>
      <sz val="2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58" fontId="3" fillId="0" borderId="1" xfId="0" applyNumberFormat="1" applyFont="1" applyBorder="1" applyAlignment="1">
      <alignment vertical="center"/>
    </xf>
    <xf numFmtId="58" fontId="3" fillId="0" borderId="2" xfId="0" applyNumberFormat="1" applyFont="1" applyBorder="1" applyAlignment="1">
      <alignment vertical="center"/>
    </xf>
    <xf numFmtId="58" fontId="3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56" fontId="2" fillId="0" borderId="14" xfId="0" applyNumberFormat="1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56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8" xfId="16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38" fontId="0" fillId="0" borderId="14" xfId="16" applyBorder="1" applyAlignment="1">
      <alignment/>
    </xf>
    <xf numFmtId="180" fontId="0" fillId="0" borderId="14" xfId="16" applyNumberFormat="1" applyBorder="1" applyAlignment="1">
      <alignment/>
    </xf>
    <xf numFmtId="180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15" xfId="16" applyBorder="1" applyAlignment="1">
      <alignment/>
    </xf>
    <xf numFmtId="0" fontId="0" fillId="0" borderId="16" xfId="0" applyBorder="1" applyAlignment="1">
      <alignment vertical="center"/>
    </xf>
    <xf numFmtId="38" fontId="0" fillId="0" borderId="16" xfId="16" applyBorder="1" applyAlignment="1">
      <alignment/>
    </xf>
    <xf numFmtId="180" fontId="0" fillId="0" borderId="16" xfId="0" applyNumberFormat="1" applyBorder="1" applyAlignment="1">
      <alignment horizontal="distributed" vertical="center"/>
    </xf>
    <xf numFmtId="0" fontId="0" fillId="2" borderId="17" xfId="0" applyFill="1" applyBorder="1" applyAlignment="1">
      <alignment vertical="center"/>
    </xf>
    <xf numFmtId="38" fontId="0" fillId="2" borderId="17" xfId="16" applyFill="1" applyBorder="1" applyAlignment="1">
      <alignment/>
    </xf>
    <xf numFmtId="180" fontId="0" fillId="2" borderId="18" xfId="16" applyNumberFormat="1" applyFill="1" applyBorder="1" applyAlignment="1">
      <alignment/>
    </xf>
    <xf numFmtId="180" fontId="0" fillId="2" borderId="17" xfId="0" applyNumberFormat="1" applyFill="1" applyBorder="1" applyAlignment="1">
      <alignment horizontal="distributed" vertical="center"/>
    </xf>
    <xf numFmtId="0" fontId="0" fillId="2" borderId="14" xfId="0" applyFill="1" applyBorder="1" applyAlignment="1">
      <alignment vertical="center"/>
    </xf>
    <xf numFmtId="38" fontId="0" fillId="2" borderId="14" xfId="16" applyFill="1" applyBorder="1" applyAlignment="1">
      <alignment/>
    </xf>
    <xf numFmtId="180" fontId="0" fillId="2" borderId="14" xfId="16" applyNumberFormat="1" applyFill="1" applyBorder="1" applyAlignment="1">
      <alignment/>
    </xf>
    <xf numFmtId="38" fontId="0" fillId="0" borderId="0" xfId="16" applyAlignment="1">
      <alignment/>
    </xf>
    <xf numFmtId="180" fontId="0" fillId="0" borderId="0" xfId="0" applyNumberFormat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38" fontId="0" fillId="0" borderId="14" xfId="16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0" fontId="0" fillId="0" borderId="14" xfId="0" applyNumberForma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0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38" fontId="0" fillId="0" borderId="14" xfId="16" applyBorder="1" applyAlignment="1" applyProtection="1">
      <alignment vertical="center"/>
      <protection/>
    </xf>
    <xf numFmtId="180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/>
    </xf>
    <xf numFmtId="38" fontId="0" fillId="0" borderId="0" xfId="0" applyNumberFormat="1" applyFill="1" applyBorder="1" applyAlignmen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28" xfId="0" applyFont="1" applyFill="1" applyBorder="1" applyAlignment="1">
      <alignment horizontal="center" vertical="center" wrapText="1"/>
    </xf>
    <xf numFmtId="38" fontId="0" fillId="0" borderId="29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0" fillId="0" borderId="0" xfId="16" applyBorder="1" applyAlignment="1" applyProtection="1">
      <alignment vertical="center"/>
      <protection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38" fontId="0" fillId="0" borderId="14" xfId="16" applyBorder="1" applyAlignment="1" applyProtection="1">
      <alignment/>
      <protection locked="0"/>
    </xf>
    <xf numFmtId="180" fontId="0" fillId="0" borderId="8" xfId="16" applyNumberFormat="1" applyBorder="1" applyAlignment="1">
      <alignment/>
    </xf>
    <xf numFmtId="38" fontId="5" fillId="0" borderId="8" xfId="16" applyFont="1" applyBorder="1" applyAlignment="1">
      <alignment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38" fontId="5" fillId="0" borderId="13" xfId="16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5" fillId="0" borderId="9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12" xfId="16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8" fontId="13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181" fontId="0" fillId="0" borderId="27" xfId="0" applyNumberFormat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 wrapText="1"/>
    </xf>
    <xf numFmtId="181" fontId="0" fillId="0" borderId="38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H11" sqref="H11"/>
    </sheetView>
  </sheetViews>
  <sheetFormatPr defaultColWidth="9.00390625" defaultRowHeight="13.5"/>
  <cols>
    <col min="2" max="2" width="12.875" style="0" bestFit="1" customWidth="1"/>
  </cols>
  <sheetData>
    <row r="1" spans="1:5" ht="13.5">
      <c r="A1">
        <v>1</v>
      </c>
      <c r="B1" t="s">
        <v>36</v>
      </c>
      <c r="D1">
        <v>1</v>
      </c>
      <c r="E1" t="s">
        <v>78</v>
      </c>
    </row>
    <row r="2" spans="1:5" ht="13.5">
      <c r="A2">
        <v>2</v>
      </c>
      <c r="B2" t="s">
        <v>37</v>
      </c>
      <c r="D2">
        <v>2</v>
      </c>
      <c r="E2" t="s">
        <v>79</v>
      </c>
    </row>
    <row r="3" spans="1:5" ht="13.5">
      <c r="A3">
        <v>3</v>
      </c>
      <c r="B3" t="s">
        <v>38</v>
      </c>
      <c r="D3">
        <v>3</v>
      </c>
      <c r="E3" t="s">
        <v>80</v>
      </c>
    </row>
    <row r="4" spans="1:5" ht="13.5">
      <c r="A4">
        <v>4</v>
      </c>
      <c r="B4" t="s">
        <v>39</v>
      </c>
      <c r="D4">
        <v>4</v>
      </c>
      <c r="E4" t="s">
        <v>83</v>
      </c>
    </row>
    <row r="5" spans="1:5" ht="13.5">
      <c r="A5">
        <v>5</v>
      </c>
      <c r="B5" t="s">
        <v>40</v>
      </c>
      <c r="D5">
        <v>5</v>
      </c>
      <c r="E5" t="s">
        <v>84</v>
      </c>
    </row>
    <row r="6" spans="1:4" ht="13.5">
      <c r="A6">
        <v>6</v>
      </c>
      <c r="B6" t="s">
        <v>41</v>
      </c>
      <c r="D6">
        <v>6</v>
      </c>
    </row>
    <row r="7" spans="1:4" ht="13.5">
      <c r="A7">
        <v>7</v>
      </c>
      <c r="B7" t="s">
        <v>42</v>
      </c>
      <c r="D7">
        <v>7</v>
      </c>
    </row>
    <row r="8" spans="1:2" ht="13.5">
      <c r="A8">
        <v>8</v>
      </c>
      <c r="B8" t="s">
        <v>43</v>
      </c>
    </row>
    <row r="9" spans="1:2" ht="13.5">
      <c r="A9">
        <v>9</v>
      </c>
      <c r="B9" t="s">
        <v>44</v>
      </c>
    </row>
    <row r="10" spans="1:2" ht="13.5">
      <c r="A10">
        <v>10</v>
      </c>
      <c r="B10" t="s">
        <v>45</v>
      </c>
    </row>
    <row r="11" ht="14.25" customHeight="1">
      <c r="A11">
        <v>11</v>
      </c>
    </row>
    <row r="12" ht="13.5">
      <c r="A12">
        <v>12</v>
      </c>
    </row>
    <row r="13" ht="13.5">
      <c r="A13">
        <v>13</v>
      </c>
    </row>
    <row r="14" ht="13.5">
      <c r="A14">
        <v>14</v>
      </c>
    </row>
    <row r="15" ht="13.5">
      <c r="A15">
        <v>15</v>
      </c>
    </row>
    <row r="16" ht="13.5">
      <c r="A16">
        <v>16</v>
      </c>
    </row>
    <row r="17" ht="13.5">
      <c r="A17">
        <v>17</v>
      </c>
    </row>
    <row r="18" ht="13.5">
      <c r="A18">
        <v>18</v>
      </c>
    </row>
    <row r="19" ht="13.5">
      <c r="A19">
        <v>19</v>
      </c>
    </row>
    <row r="20" spans="1:2" ht="13.5">
      <c r="A20">
        <v>20</v>
      </c>
      <c r="B20" t="s">
        <v>46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2"/>
  <sheetViews>
    <sheetView zoomScale="75" zoomScaleNormal="75" workbookViewId="0" topLeftCell="A1">
      <pane ySplit="1" topLeftCell="BM35" activePane="bottomLeft" state="frozen"/>
      <selection pane="topLeft" activeCell="A1" sqref="A1"/>
      <selection pane="bottomLeft" activeCell="D23" sqref="D23"/>
    </sheetView>
  </sheetViews>
  <sheetFormatPr defaultColWidth="9.00390625" defaultRowHeight="13.5"/>
  <cols>
    <col min="1" max="3" width="3.875" style="0" customWidth="1"/>
    <col min="4" max="4" width="5.625" style="0" customWidth="1"/>
    <col min="5" max="5" width="26.625" style="0" customWidth="1"/>
    <col min="6" max="6" width="9.25390625" style="53" bestFit="1" customWidth="1"/>
    <col min="7" max="7" width="9.375" style="0" bestFit="1" customWidth="1"/>
    <col min="8" max="8" width="10.375" style="0" bestFit="1" customWidth="1"/>
    <col min="9" max="9" width="8.625" style="0" bestFit="1" customWidth="1"/>
    <col min="10" max="10" width="14.625" style="54" customWidth="1"/>
    <col min="11" max="11" width="8.125" style="0" customWidth="1"/>
    <col min="12" max="12" width="18.375" style="0" bestFit="1" customWidth="1"/>
    <col min="13" max="13" width="6.75390625" style="0" bestFit="1" customWidth="1"/>
    <col min="16" max="16" width="5.75390625" style="0" bestFit="1" customWidth="1"/>
    <col min="17" max="21" width="9.75390625" style="0" customWidth="1"/>
    <col min="25" max="25" width="11.25390625" style="0" customWidth="1"/>
  </cols>
  <sheetData>
    <row r="1" spans="1:13" ht="13.5">
      <c r="A1" s="55" t="s">
        <v>11</v>
      </c>
      <c r="B1" s="55" t="s">
        <v>12</v>
      </c>
      <c r="C1" s="55" t="s">
        <v>13</v>
      </c>
      <c r="D1" s="55" t="s">
        <v>81</v>
      </c>
      <c r="E1" s="37" t="s">
        <v>58</v>
      </c>
      <c r="F1" s="56" t="s">
        <v>47</v>
      </c>
      <c r="G1" s="55" t="s">
        <v>48</v>
      </c>
      <c r="H1" s="37" t="s">
        <v>49</v>
      </c>
      <c r="I1" s="55" t="s">
        <v>50</v>
      </c>
      <c r="J1" s="55" t="s">
        <v>59</v>
      </c>
      <c r="K1" s="55" t="s">
        <v>51</v>
      </c>
      <c r="L1" s="65" t="s">
        <v>82</v>
      </c>
      <c r="M1" s="55" t="s">
        <v>85</v>
      </c>
    </row>
    <row r="2" spans="1:13" ht="13.5">
      <c r="A2" s="36">
        <v>18</v>
      </c>
      <c r="B2" s="36">
        <v>4</v>
      </c>
      <c r="C2" s="36">
        <v>10</v>
      </c>
      <c r="D2" s="36">
        <v>4</v>
      </c>
      <c r="E2" s="36" t="s">
        <v>57</v>
      </c>
      <c r="F2" s="38">
        <v>240000</v>
      </c>
      <c r="G2" s="38"/>
      <c r="H2" s="39">
        <f>IF(F2="",IF(G2="","",SUM($F$2:F2)-SUM($G$2:G2)),SUM($F$2:F2)-SUM($G$2:G2))</f>
        <v>240000</v>
      </c>
      <c r="I2" s="36"/>
      <c r="J2" s="40" t="str">
        <f>IF(K2=0,0,VLOOKUP(K2,Sheet1!$A$1:$B$30,2))</f>
        <v>交付金</v>
      </c>
      <c r="K2" s="36">
        <v>20</v>
      </c>
      <c r="L2" s="66">
        <f>IF(M2=0,0,VLOOKUP(M2,Sheet1!$D$1:$E$30,2))</f>
        <v>0</v>
      </c>
      <c r="M2" s="36"/>
    </row>
    <row r="3" spans="1:13" ht="13.5">
      <c r="A3" s="36">
        <v>18</v>
      </c>
      <c r="B3" s="36">
        <v>7</v>
      </c>
      <c r="C3" s="36">
        <v>3</v>
      </c>
      <c r="D3" s="36">
        <v>7</v>
      </c>
      <c r="E3" s="36" t="s">
        <v>52</v>
      </c>
      <c r="F3" s="38">
        <v>240000</v>
      </c>
      <c r="G3" s="103"/>
      <c r="H3" s="39">
        <f>IF(F3="",IF(G3="","",SUM($F$2:F3)-SUM($G$2:G3)),SUM($F$2:F3)-SUM($G$2:G3))</f>
        <v>480000</v>
      </c>
      <c r="I3" s="36"/>
      <c r="J3" s="40" t="str">
        <f>IF(K3=0,0,VLOOKUP(K3,Sheet1!$A$1:$B$30,2))</f>
        <v>交付金</v>
      </c>
      <c r="K3" s="36">
        <v>20</v>
      </c>
      <c r="L3" s="66">
        <f>IF(M3=0,0,VLOOKUP(M3,Sheet1!$D$1:$E$30,2))</f>
        <v>0</v>
      </c>
      <c r="M3" s="36"/>
    </row>
    <row r="4" spans="1:13" ht="13.5">
      <c r="A4" s="36">
        <v>18</v>
      </c>
      <c r="B4" s="36">
        <v>10</v>
      </c>
      <c r="C4" s="36">
        <v>2</v>
      </c>
      <c r="D4" s="36">
        <v>10</v>
      </c>
      <c r="E4" s="36" t="s">
        <v>53</v>
      </c>
      <c r="F4" s="38">
        <v>240000</v>
      </c>
      <c r="G4" s="103"/>
      <c r="H4" s="39">
        <f>IF(F4="",IF(G4="","",SUM($F$2:F4)-SUM($G$2:G4)),SUM($F$2:F4)-SUM($G$2:G4))</f>
        <v>720000</v>
      </c>
      <c r="I4" s="36"/>
      <c r="J4" s="40" t="str">
        <f>IF(K4=0,0,VLOOKUP(K4,Sheet1!$A$1:$B$30,2))</f>
        <v>交付金</v>
      </c>
      <c r="K4" s="36">
        <v>20</v>
      </c>
      <c r="L4" s="66">
        <f>IF(M4=0,0,VLOOKUP(M4,Sheet1!$D$1:$E$30,2))</f>
        <v>0</v>
      </c>
      <c r="M4" s="36"/>
    </row>
    <row r="5" spans="1:13" ht="13.5">
      <c r="A5" s="36">
        <v>19</v>
      </c>
      <c r="B5" s="36">
        <v>1</v>
      </c>
      <c r="C5" s="36">
        <v>5</v>
      </c>
      <c r="D5" s="36">
        <v>1</v>
      </c>
      <c r="E5" s="36" t="s">
        <v>54</v>
      </c>
      <c r="F5" s="38">
        <v>240000</v>
      </c>
      <c r="G5" s="38"/>
      <c r="H5" s="39">
        <f>IF(F5="",IF(G5="","",SUM($F$2:F5)-SUM($G$2:G5)),SUM($F$2:F5)-SUM($G$2:G5))</f>
        <v>960000</v>
      </c>
      <c r="I5" s="36"/>
      <c r="J5" s="40" t="str">
        <f>IF(K5=0,0,VLOOKUP(K5,Sheet1!$A$1:$B$30,2))</f>
        <v>交付金</v>
      </c>
      <c r="K5" s="36">
        <v>20</v>
      </c>
      <c r="L5" s="66">
        <f>IF(M5=0,0,VLOOKUP(M5,Sheet1!$D$1:$E$30,2))</f>
        <v>0</v>
      </c>
      <c r="M5" s="36"/>
    </row>
    <row r="6" spans="1:13" ht="13.5">
      <c r="A6" s="36">
        <v>19</v>
      </c>
      <c r="B6" s="36">
        <v>2</v>
      </c>
      <c r="C6" s="36"/>
      <c r="D6" s="59">
        <v>2</v>
      </c>
      <c r="E6" s="102" t="s">
        <v>120</v>
      </c>
      <c r="F6" s="38"/>
      <c r="G6" s="104">
        <v>3925</v>
      </c>
      <c r="H6" s="39">
        <f>IF(F6="",IF(G6="","",SUM($F$2:F6)-SUM($G$2:G6)),SUM($F$2:F6)-SUM($G$2:G6))</f>
        <v>956075</v>
      </c>
      <c r="I6" s="36">
        <v>1</v>
      </c>
      <c r="J6" s="40" t="str">
        <f>IF(K6=0,0,VLOOKUP(K6,Sheet1!$A$1:$B$30,2))</f>
        <v>資料購入費</v>
      </c>
      <c r="K6" s="36">
        <v>4</v>
      </c>
      <c r="L6" s="66">
        <f>IF(M6=0,0,VLOOKUP(M6,Sheet1!$D$1:$E$30,2))</f>
        <v>0</v>
      </c>
      <c r="M6" s="36"/>
    </row>
    <row r="7" spans="1:13" ht="13.5">
      <c r="A7" s="36">
        <v>19</v>
      </c>
      <c r="B7" s="36">
        <v>1</v>
      </c>
      <c r="C7" s="36"/>
      <c r="D7" s="59">
        <v>1</v>
      </c>
      <c r="E7" s="102" t="s">
        <v>120</v>
      </c>
      <c r="F7" s="38"/>
      <c r="G7" s="104">
        <v>3925</v>
      </c>
      <c r="H7" s="39">
        <f>IF(F7="",IF(G7="","",SUM($F$2:F7)-SUM($G$2:G7)),SUM($F$2:F7)-SUM($G$2:G7))</f>
        <v>952150</v>
      </c>
      <c r="I7" s="36">
        <v>2</v>
      </c>
      <c r="J7" s="40" t="str">
        <f>IF(K7=0,0,VLOOKUP(K7,Sheet1!$A$1:$B$30,2))</f>
        <v>資料購入費</v>
      </c>
      <c r="K7" s="36">
        <v>4</v>
      </c>
      <c r="L7" s="66">
        <f>IF(M7=0,0,VLOOKUP(M7,Sheet1!$D$1:$E$30,2))</f>
        <v>0</v>
      </c>
      <c r="M7" s="36"/>
    </row>
    <row r="8" spans="1:13" ht="13.5">
      <c r="A8" s="36">
        <v>18</v>
      </c>
      <c r="B8" s="36">
        <v>12</v>
      </c>
      <c r="C8" s="36"/>
      <c r="D8" s="59">
        <v>12</v>
      </c>
      <c r="E8" s="102" t="s">
        <v>120</v>
      </c>
      <c r="F8" s="38"/>
      <c r="G8" s="104">
        <v>3925</v>
      </c>
      <c r="H8" s="39">
        <f>IF(F8="",IF(G8="","",SUM($F$2:F8)-SUM($G$2:G8)),SUM($F$2:F8)-SUM($G$2:G8))</f>
        <v>948225</v>
      </c>
      <c r="I8" s="36">
        <v>3</v>
      </c>
      <c r="J8" s="40" t="str">
        <f>IF(K8=0,0,VLOOKUP(K8,Sheet1!$A$1:$B$30,2))</f>
        <v>資料購入費</v>
      </c>
      <c r="K8" s="36">
        <v>4</v>
      </c>
      <c r="L8" s="66">
        <f>IF(M8=0,0,VLOOKUP(M8,Sheet1!$D$1:$E$30,2))</f>
        <v>0</v>
      </c>
      <c r="M8" s="36"/>
    </row>
    <row r="9" spans="1:13" ht="13.5">
      <c r="A9" s="36">
        <v>18</v>
      </c>
      <c r="B9" s="36">
        <v>11</v>
      </c>
      <c r="C9" s="36"/>
      <c r="D9" s="59">
        <v>11</v>
      </c>
      <c r="E9" s="102" t="s">
        <v>120</v>
      </c>
      <c r="F9" s="38"/>
      <c r="G9" s="104">
        <v>3925</v>
      </c>
      <c r="H9" s="39">
        <f>IF(F9="",IF(G9="","",SUM($F$2:F9)-SUM($G$2:G9)),SUM($F$2:F9)-SUM($G$2:G9))</f>
        <v>944300</v>
      </c>
      <c r="I9" s="36">
        <v>4</v>
      </c>
      <c r="J9" s="40" t="str">
        <f>IF(K9=0,0,VLOOKUP(K9,Sheet1!$A$1:$B$30,2))</f>
        <v>資料購入費</v>
      </c>
      <c r="K9" s="36">
        <v>4</v>
      </c>
      <c r="L9" s="66">
        <f>IF(M9=0,0,VLOOKUP(M9,Sheet1!$D$1:$E$30,2))</f>
        <v>0</v>
      </c>
      <c r="M9" s="36"/>
    </row>
    <row r="10" spans="1:13" ht="13.5">
      <c r="A10" s="36">
        <v>18</v>
      </c>
      <c r="B10" s="36">
        <v>10</v>
      </c>
      <c r="C10" s="36"/>
      <c r="D10" s="59">
        <v>10</v>
      </c>
      <c r="E10" s="102" t="s">
        <v>120</v>
      </c>
      <c r="F10" s="38"/>
      <c r="G10" s="104">
        <v>3925</v>
      </c>
      <c r="H10" s="39">
        <f>IF(F10="",IF(G10="","",SUM($F$2:F10)-SUM($G$2:G10)),SUM($F$2:F10)-SUM($G$2:G10))</f>
        <v>940375</v>
      </c>
      <c r="I10" s="36">
        <v>5</v>
      </c>
      <c r="J10" s="40" t="str">
        <f>IF(K10=0,0,VLOOKUP(K10,Sheet1!$A$1:$B$30,2))</f>
        <v>資料購入費</v>
      </c>
      <c r="K10" s="36">
        <v>4</v>
      </c>
      <c r="L10" s="66">
        <f>IF(M10=0,0,VLOOKUP(M10,Sheet1!$D$1:$E$30,2))</f>
        <v>0</v>
      </c>
      <c r="M10" s="36"/>
    </row>
    <row r="11" spans="1:13" ht="13.5">
      <c r="A11" s="36">
        <v>18</v>
      </c>
      <c r="B11" s="36">
        <v>9</v>
      </c>
      <c r="C11" s="36"/>
      <c r="D11" s="59">
        <v>9</v>
      </c>
      <c r="E11" s="102" t="s">
        <v>120</v>
      </c>
      <c r="F11" s="38"/>
      <c r="G11" s="104">
        <v>3925</v>
      </c>
      <c r="H11" s="39">
        <f>IF(F11="",IF(G11="","",SUM($F$2:F11)-SUM($G$2:G11)),SUM($F$2:F11)-SUM($G$2:G11))</f>
        <v>936450</v>
      </c>
      <c r="I11" s="36">
        <v>6</v>
      </c>
      <c r="J11" s="40" t="str">
        <f>IF(K11=0,0,VLOOKUP(K11,Sheet1!$A$1:$B$30,2))</f>
        <v>資料購入費</v>
      </c>
      <c r="K11" s="36">
        <v>4</v>
      </c>
      <c r="L11" s="66">
        <f>IF(M11=0,0,VLOOKUP(M11,Sheet1!$D$1:$E$30,2))</f>
        <v>0</v>
      </c>
      <c r="M11" s="36"/>
    </row>
    <row r="12" spans="1:13" ht="13.5">
      <c r="A12" s="36">
        <v>18</v>
      </c>
      <c r="B12" s="36">
        <v>8</v>
      </c>
      <c r="C12" s="36"/>
      <c r="D12" s="36">
        <v>8</v>
      </c>
      <c r="E12" s="102" t="s">
        <v>120</v>
      </c>
      <c r="F12" s="38"/>
      <c r="G12" s="104">
        <v>3925</v>
      </c>
      <c r="H12" s="39">
        <f>IF(F12="",IF(G12="","",SUM($F$2:F12)-SUM($G$2:G12)),SUM($F$2:F12)-SUM($G$2:G12))</f>
        <v>932525</v>
      </c>
      <c r="I12" s="36">
        <v>7</v>
      </c>
      <c r="J12" s="40" t="str">
        <f>IF(K12=0,0,VLOOKUP(K12,Sheet1!$A$1:$B$30,2))</f>
        <v>資料購入費</v>
      </c>
      <c r="K12" s="36">
        <v>4</v>
      </c>
      <c r="L12" s="66">
        <f>IF(M12=0,0,VLOOKUP(M12,Sheet1!$D$1:$E$30,2))</f>
        <v>0</v>
      </c>
      <c r="M12" s="36"/>
    </row>
    <row r="13" spans="1:13" ht="13.5">
      <c r="A13" s="36">
        <v>18</v>
      </c>
      <c r="B13" s="36">
        <v>7</v>
      </c>
      <c r="C13" s="36"/>
      <c r="D13" s="59">
        <v>7</v>
      </c>
      <c r="E13" s="102" t="s">
        <v>120</v>
      </c>
      <c r="F13" s="38"/>
      <c r="G13" s="104">
        <v>3925</v>
      </c>
      <c r="H13" s="39">
        <f>IF(F13="",IF(G13="","",SUM($F$2:F13)-SUM($G$2:G13)),SUM($F$2:F13)-SUM($G$2:G13))</f>
        <v>928600</v>
      </c>
      <c r="I13" s="36">
        <v>8</v>
      </c>
      <c r="J13" s="40" t="str">
        <f>IF(K13=0,0,VLOOKUP(K13,Sheet1!$A$1:$B$30,2))</f>
        <v>資料購入費</v>
      </c>
      <c r="K13" s="36">
        <v>4</v>
      </c>
      <c r="L13" s="66">
        <f>IF(M13=0,0,VLOOKUP(M13,Sheet1!$D$1:$E$30,2))</f>
        <v>0</v>
      </c>
      <c r="M13" s="36"/>
    </row>
    <row r="14" spans="1:13" ht="13.5">
      <c r="A14" s="36">
        <v>18</v>
      </c>
      <c r="B14" s="36">
        <v>6</v>
      </c>
      <c r="C14" s="36"/>
      <c r="D14" s="59">
        <v>6</v>
      </c>
      <c r="E14" s="102" t="s">
        <v>120</v>
      </c>
      <c r="F14" s="38"/>
      <c r="G14" s="104">
        <v>3925</v>
      </c>
      <c r="H14" s="39">
        <f>IF(F14="",IF(G14="","",SUM($F$2:F14)-SUM($G$2:G14)),SUM($F$2:F14)-SUM($G$2:G14))</f>
        <v>924675</v>
      </c>
      <c r="I14" s="36">
        <v>9</v>
      </c>
      <c r="J14" s="40" t="str">
        <f>IF(K14=0,0,VLOOKUP(K14,Sheet1!$A$1:$B$30,2))</f>
        <v>資料購入費</v>
      </c>
      <c r="K14" s="36">
        <v>4</v>
      </c>
      <c r="L14" s="66">
        <f>IF(M14=0,0,VLOOKUP(M14,Sheet1!$D$1:$E$30,2))</f>
        <v>0</v>
      </c>
      <c r="M14" s="36"/>
    </row>
    <row r="15" spans="1:13" ht="13.5">
      <c r="A15" s="36">
        <v>18</v>
      </c>
      <c r="B15" s="36">
        <v>5</v>
      </c>
      <c r="C15" s="36"/>
      <c r="D15" s="59">
        <v>5</v>
      </c>
      <c r="E15" s="102" t="s">
        <v>120</v>
      </c>
      <c r="F15" s="38"/>
      <c r="G15" s="104">
        <v>3925</v>
      </c>
      <c r="H15" s="39">
        <f>IF(F15="",IF(G15="","",SUM($F$2:F15)-SUM($G$2:G15)),SUM($F$2:F15)-SUM($G$2:G15))</f>
        <v>920750</v>
      </c>
      <c r="I15" s="36">
        <v>10</v>
      </c>
      <c r="J15" s="40" t="str">
        <f>IF(K15=0,0,VLOOKUP(K15,Sheet1!$A$1:$B$30,2))</f>
        <v>資料購入費</v>
      </c>
      <c r="K15" s="36">
        <v>4</v>
      </c>
      <c r="L15" s="66">
        <f>IF(M15=0,0,VLOOKUP(M15,Sheet1!$D$1:$E$30,2))</f>
        <v>0</v>
      </c>
      <c r="M15" s="36"/>
    </row>
    <row r="16" spans="1:13" ht="13.5">
      <c r="A16" s="36">
        <v>18</v>
      </c>
      <c r="B16" s="36">
        <v>4</v>
      </c>
      <c r="C16" s="36"/>
      <c r="D16" s="59">
        <v>4</v>
      </c>
      <c r="E16" s="102" t="s">
        <v>120</v>
      </c>
      <c r="F16" s="38"/>
      <c r="G16" s="104">
        <v>3925</v>
      </c>
      <c r="H16" s="39">
        <f>IF(F16="",IF(G16="","",SUM($F$2:F16)-SUM($G$2:G16)),SUM($F$2:F16)-SUM($G$2:G16))</f>
        <v>916825</v>
      </c>
      <c r="I16" s="36">
        <v>11</v>
      </c>
      <c r="J16" s="40" t="str">
        <f>IF(K16=0,0,VLOOKUP(K16,Sheet1!$A$1:$B$30,2))</f>
        <v>資料購入費</v>
      </c>
      <c r="K16" s="36">
        <v>4</v>
      </c>
      <c r="L16" s="66">
        <f>IF(M16=0,0,VLOOKUP(M16,Sheet1!$D$1:$E$30,2))</f>
        <v>0</v>
      </c>
      <c r="M16" s="36"/>
    </row>
    <row r="17" spans="1:13" ht="13.5">
      <c r="A17" s="36">
        <v>18</v>
      </c>
      <c r="B17" s="36">
        <v>11</v>
      </c>
      <c r="C17" s="36">
        <v>28</v>
      </c>
      <c r="D17" s="59">
        <v>12</v>
      </c>
      <c r="E17" s="36" t="s">
        <v>121</v>
      </c>
      <c r="F17" s="38"/>
      <c r="G17" s="38">
        <v>2774</v>
      </c>
      <c r="H17" s="39">
        <f>IF(F17="",IF(G17="","",SUM($F$2:F17)-SUM($G$2:G17)),SUM($F$2:F17)-SUM($G$2:G17))</f>
        <v>914051</v>
      </c>
      <c r="I17" s="36">
        <v>12</v>
      </c>
      <c r="J17" s="40" t="str">
        <f>IF(K17=0,0,VLOOKUP(K17,Sheet1!$A$1:$B$30,2))</f>
        <v>その他の経費</v>
      </c>
      <c r="K17" s="59">
        <v>10</v>
      </c>
      <c r="L17" s="66" t="str">
        <f>IF(M17=0,0,VLOOKUP(M17,Sheet1!$D$1:$E$30,2))</f>
        <v>電話代</v>
      </c>
      <c r="M17" s="36">
        <v>1</v>
      </c>
    </row>
    <row r="18" spans="1:13" ht="13.5">
      <c r="A18" s="36">
        <v>18</v>
      </c>
      <c r="B18" s="36">
        <v>9</v>
      </c>
      <c r="C18" s="36">
        <v>28</v>
      </c>
      <c r="D18" s="59">
        <v>10</v>
      </c>
      <c r="E18" s="36" t="s">
        <v>121</v>
      </c>
      <c r="F18" s="38"/>
      <c r="G18" s="38">
        <v>3067</v>
      </c>
      <c r="H18" s="39">
        <f>IF(F18="",IF(G18="","",SUM($F$2:F18)-SUM($G$2:G18)),SUM($F$2:F18)-SUM($G$2:G18))</f>
        <v>910984</v>
      </c>
      <c r="I18" s="36">
        <v>13</v>
      </c>
      <c r="J18" s="40" t="str">
        <f>IF(K18=0,0,VLOOKUP(K18,Sheet1!$A$1:$B$30,2))</f>
        <v>その他の経費</v>
      </c>
      <c r="K18" s="59">
        <v>10</v>
      </c>
      <c r="L18" s="66" t="str">
        <f>IF(M18=0,0,VLOOKUP(M18,Sheet1!$D$1:$E$30,2))</f>
        <v>電話代</v>
      </c>
      <c r="M18" s="36">
        <v>1</v>
      </c>
    </row>
    <row r="19" spans="1:13" ht="13.5">
      <c r="A19" s="36">
        <v>18</v>
      </c>
      <c r="B19" s="59">
        <v>12</v>
      </c>
      <c r="C19" s="59">
        <v>9</v>
      </c>
      <c r="D19" s="59">
        <v>1</v>
      </c>
      <c r="E19" s="59" t="s">
        <v>122</v>
      </c>
      <c r="F19" s="38"/>
      <c r="G19" s="38">
        <v>5759</v>
      </c>
      <c r="H19" s="39">
        <f>IF(F19="",IF(G19="","",SUM($F$2:F19)-SUM($G$2:G19)),SUM($F$2:F19)-SUM($G$2:G19))</f>
        <v>905225</v>
      </c>
      <c r="I19" s="36">
        <v>14</v>
      </c>
      <c r="J19" s="40" t="str">
        <f>IF(K19=0,0,VLOOKUP(K19,Sheet1!$A$1:$B$30,2))</f>
        <v>その他の経費</v>
      </c>
      <c r="K19" s="59">
        <v>10</v>
      </c>
      <c r="L19" s="66" t="str">
        <f>IF(M19=0,0,VLOOKUP(M19,Sheet1!$D$1:$E$30,2))</f>
        <v>電話代</v>
      </c>
      <c r="M19" s="36">
        <v>1</v>
      </c>
    </row>
    <row r="20" spans="1:13" ht="13.5">
      <c r="A20" s="36">
        <v>18</v>
      </c>
      <c r="B20" s="59">
        <v>8</v>
      </c>
      <c r="C20" s="59">
        <v>11</v>
      </c>
      <c r="D20" s="59">
        <v>9</v>
      </c>
      <c r="E20" s="59" t="s">
        <v>122</v>
      </c>
      <c r="F20" s="38"/>
      <c r="G20" s="38">
        <v>3568</v>
      </c>
      <c r="H20" s="39">
        <f>IF(F20="",IF(G20="","",SUM($F$2:F20)-SUM($G$2:G20)),SUM($F$2:F20)-SUM($G$2:G20))</f>
        <v>901657</v>
      </c>
      <c r="I20" s="36">
        <v>15</v>
      </c>
      <c r="J20" s="40" t="str">
        <f>IF(K20=0,0,VLOOKUP(K20,Sheet1!$A$1:$B$30,2))</f>
        <v>その他の経費</v>
      </c>
      <c r="K20" s="59">
        <v>10</v>
      </c>
      <c r="L20" s="66" t="str">
        <f>IF(M20=0,0,VLOOKUP(M20,Sheet1!$D$1:$E$30,2))</f>
        <v>電話代</v>
      </c>
      <c r="M20" s="36">
        <v>1</v>
      </c>
    </row>
    <row r="21" spans="1:13" ht="13.5">
      <c r="A21" s="36">
        <v>18</v>
      </c>
      <c r="B21" s="59">
        <v>7</v>
      </c>
      <c r="C21" s="59">
        <v>27</v>
      </c>
      <c r="D21" s="59">
        <v>8</v>
      </c>
      <c r="E21" s="59" t="s">
        <v>121</v>
      </c>
      <c r="F21" s="38"/>
      <c r="G21" s="38">
        <v>2692</v>
      </c>
      <c r="H21" s="39">
        <f>IF(F21="",IF(G21="","",SUM($F$2:F21)-SUM($G$2:G21)),SUM($F$2:F21)-SUM($G$2:G21))</f>
        <v>898965</v>
      </c>
      <c r="I21" s="36">
        <v>16</v>
      </c>
      <c r="J21" s="40" t="str">
        <f>IF(K21=0,0,VLOOKUP(K21,Sheet1!$A$1:$B$30,2))</f>
        <v>その他の経費</v>
      </c>
      <c r="K21" s="59">
        <v>10</v>
      </c>
      <c r="L21" s="66" t="str">
        <f>IF(M21=0,0,VLOOKUP(M21,Sheet1!$D$1:$E$30,2))</f>
        <v>電話代</v>
      </c>
      <c r="M21" s="36">
        <v>1</v>
      </c>
    </row>
    <row r="22" spans="1:13" ht="13.5">
      <c r="A22" s="36">
        <v>18</v>
      </c>
      <c r="B22" s="59">
        <v>7</v>
      </c>
      <c r="C22" s="59">
        <v>11</v>
      </c>
      <c r="D22" s="59">
        <v>8</v>
      </c>
      <c r="E22" s="59" t="s">
        <v>122</v>
      </c>
      <c r="F22" s="38"/>
      <c r="G22" s="38">
        <v>3181</v>
      </c>
      <c r="H22" s="39">
        <f>IF(F22="",IF(G22="","",SUM($F$2:F22)-SUM($G$2:G22)),SUM($F$2:F22)-SUM($G$2:G22))</f>
        <v>895784</v>
      </c>
      <c r="I22" s="36">
        <v>17</v>
      </c>
      <c r="J22" s="40" t="str">
        <f>IF(K22=0,0,VLOOKUP(K22,Sheet1!$A$1:$B$30,2))</f>
        <v>その他の経費</v>
      </c>
      <c r="K22" s="59">
        <v>10</v>
      </c>
      <c r="L22" s="66" t="str">
        <f>IF(M22=0,0,VLOOKUP(M22,Sheet1!$D$1:$E$30,2))</f>
        <v>電話代</v>
      </c>
      <c r="M22" s="36">
        <v>1</v>
      </c>
    </row>
    <row r="23" spans="1:13" ht="13.5">
      <c r="A23" s="36">
        <v>18</v>
      </c>
      <c r="B23" s="36">
        <v>6</v>
      </c>
      <c r="C23" s="59">
        <v>28</v>
      </c>
      <c r="D23" s="59">
        <v>7</v>
      </c>
      <c r="E23" s="59" t="s">
        <v>121</v>
      </c>
      <c r="F23" s="38"/>
      <c r="G23" s="38">
        <v>4305</v>
      </c>
      <c r="H23" s="39">
        <f>IF(F23="",IF(G23="","",SUM($F$2:F23)-SUM($G$2:G23)),SUM($F$2:F23)-SUM($G$2:G23))</f>
        <v>891479</v>
      </c>
      <c r="I23" s="36">
        <v>18</v>
      </c>
      <c r="J23" s="40" t="str">
        <f>IF(K23=0,0,VLOOKUP(K23,Sheet1!$A$1:$B$30,2))</f>
        <v>その他の経費</v>
      </c>
      <c r="K23" s="59">
        <v>10</v>
      </c>
      <c r="L23" s="66" t="str">
        <f>IF(M23=0,0,VLOOKUP(M23,Sheet1!$D$1:$E$30,2))</f>
        <v>電話代</v>
      </c>
      <c r="M23" s="36">
        <v>1</v>
      </c>
    </row>
    <row r="24" spans="1:13" ht="13.5">
      <c r="A24" s="36">
        <v>18</v>
      </c>
      <c r="B24" s="36">
        <v>6</v>
      </c>
      <c r="C24" s="36">
        <v>11</v>
      </c>
      <c r="D24" s="36">
        <v>7</v>
      </c>
      <c r="E24" s="36" t="s">
        <v>122</v>
      </c>
      <c r="F24" s="38"/>
      <c r="G24" s="38">
        <v>3406</v>
      </c>
      <c r="H24" s="39">
        <f>IF(F24="",IF(G24="","",SUM($F$2:F24)-SUM($G$2:G24)),SUM($F$2:F24)-SUM($G$2:G24))</f>
        <v>888073</v>
      </c>
      <c r="I24" s="36">
        <v>19</v>
      </c>
      <c r="J24" s="40" t="str">
        <f>IF(K24=0,0,VLOOKUP(K24,Sheet1!$A$1:$B$30,2))</f>
        <v>その他の経費</v>
      </c>
      <c r="K24" s="59">
        <v>10</v>
      </c>
      <c r="L24" s="66" t="str">
        <f>IF(M24=0,0,VLOOKUP(M24,Sheet1!$D$1:$E$30,2))</f>
        <v>電話代</v>
      </c>
      <c r="M24" s="36">
        <v>1</v>
      </c>
    </row>
    <row r="25" spans="1:13" ht="13.5">
      <c r="A25" s="36">
        <v>18</v>
      </c>
      <c r="B25" s="36">
        <v>5</v>
      </c>
      <c r="C25" s="36">
        <v>15</v>
      </c>
      <c r="D25" s="36">
        <v>6</v>
      </c>
      <c r="E25" s="36" t="s">
        <v>122</v>
      </c>
      <c r="F25" s="38"/>
      <c r="G25" s="38">
        <v>4029</v>
      </c>
      <c r="H25" s="39">
        <f>IF(F25="",IF(G25="","",SUM($F$2:F25)-SUM($G$2:G25)),SUM($F$2:F25)-SUM($G$2:G25))</f>
        <v>884044</v>
      </c>
      <c r="I25" s="36">
        <v>20</v>
      </c>
      <c r="J25" s="40" t="str">
        <f>IF(K25=0,0,VLOOKUP(K25,Sheet1!$A$1:$B$30,2))</f>
        <v>その他の経費</v>
      </c>
      <c r="K25" s="59">
        <v>10</v>
      </c>
      <c r="L25" s="66" t="str">
        <f>IF(M25=0,0,VLOOKUP(M25,Sheet1!$D$1:$E$30,2))</f>
        <v>電話代</v>
      </c>
      <c r="M25" s="36">
        <v>1</v>
      </c>
    </row>
    <row r="26" spans="1:13" ht="13.5">
      <c r="A26" s="36">
        <v>18</v>
      </c>
      <c r="B26" s="36">
        <v>5</v>
      </c>
      <c r="C26" s="36">
        <v>30</v>
      </c>
      <c r="D26" s="36">
        <v>6</v>
      </c>
      <c r="E26" s="36" t="s">
        <v>121</v>
      </c>
      <c r="F26" s="38"/>
      <c r="G26" s="38">
        <v>2719</v>
      </c>
      <c r="H26" s="39">
        <f>IF(F26="",IF(G26="","",SUM($F$2:F26)-SUM($G$2:G26)),SUM($F$2:F26)-SUM($G$2:G26))</f>
        <v>881325</v>
      </c>
      <c r="I26" s="36">
        <v>21</v>
      </c>
      <c r="J26" s="40" t="str">
        <f>IF(K26=0,0,VLOOKUP(K26,Sheet1!$A$1:$B$30,2))</f>
        <v>その他の経費</v>
      </c>
      <c r="K26" s="59">
        <v>10</v>
      </c>
      <c r="L26" s="66" t="str">
        <f>IF(M26=0,0,VLOOKUP(M26,Sheet1!$D$1:$E$30,2))</f>
        <v>電話代</v>
      </c>
      <c r="M26" s="36">
        <v>1</v>
      </c>
    </row>
    <row r="27" spans="1:13" ht="13.5">
      <c r="A27" s="36">
        <v>18</v>
      </c>
      <c r="B27" s="36">
        <v>9</v>
      </c>
      <c r="C27" s="36">
        <v>11</v>
      </c>
      <c r="D27" s="36">
        <v>10</v>
      </c>
      <c r="E27" s="102" t="s">
        <v>122</v>
      </c>
      <c r="F27" s="38"/>
      <c r="G27" s="38">
        <v>4973</v>
      </c>
      <c r="H27" s="39">
        <f>IF(F27="",IF(G27="","",SUM($F$2:F27)-SUM($G$2:G27)),SUM($F$2:F27)-SUM($G$2:G27))</f>
        <v>876352</v>
      </c>
      <c r="I27" s="36">
        <v>23</v>
      </c>
      <c r="J27" s="40" t="str">
        <f>IF(K27=0,0,VLOOKUP(K27,Sheet1!$A$1:$B$30,2))</f>
        <v>その他の経費</v>
      </c>
      <c r="K27" s="59">
        <v>10</v>
      </c>
      <c r="L27" s="66" t="str">
        <f>IF(M27=0,0,VLOOKUP(M27,Sheet1!$D$1:$E$30,2))</f>
        <v>電話代</v>
      </c>
      <c r="M27" s="36">
        <v>1</v>
      </c>
    </row>
    <row r="28" spans="1:13" ht="13.5">
      <c r="A28" s="36">
        <v>18</v>
      </c>
      <c r="B28" s="36">
        <v>8</v>
      </c>
      <c r="C28" s="36">
        <v>30</v>
      </c>
      <c r="D28" s="36">
        <v>9</v>
      </c>
      <c r="E28" s="36" t="s">
        <v>121</v>
      </c>
      <c r="F28" s="38"/>
      <c r="G28" s="38">
        <v>2707</v>
      </c>
      <c r="H28" s="39">
        <f>IF(F28="",IF(G28="","",SUM($F$2:F28)-SUM($G$2:G28)),SUM($F$2:F28)-SUM($G$2:G28))</f>
        <v>873645</v>
      </c>
      <c r="I28" s="36">
        <v>24</v>
      </c>
      <c r="J28" s="40" t="str">
        <f>IF(K28=0,0,VLOOKUP(K28,Sheet1!$A$1:$B$30,2))</f>
        <v>その他の経費</v>
      </c>
      <c r="K28" s="59">
        <v>10</v>
      </c>
      <c r="L28" s="66" t="str">
        <f>IF(M28=0,0,VLOOKUP(M28,Sheet1!$D$1:$E$30,2))</f>
        <v>電話代</v>
      </c>
      <c r="M28" s="36">
        <v>1</v>
      </c>
    </row>
    <row r="29" spans="1:13" ht="13.5">
      <c r="A29" s="36">
        <v>18</v>
      </c>
      <c r="B29" s="36">
        <v>11</v>
      </c>
      <c r="C29" s="36">
        <v>12</v>
      </c>
      <c r="D29" s="36">
        <v>12</v>
      </c>
      <c r="E29" s="36" t="s">
        <v>122</v>
      </c>
      <c r="F29" s="38"/>
      <c r="G29" s="38">
        <v>3286</v>
      </c>
      <c r="H29" s="39">
        <f>IF(F29="",IF(G29="","",SUM($F$2:F29)-SUM($G$2:G29)),SUM($F$2:F29)-SUM($G$2:G29))</f>
        <v>870359</v>
      </c>
      <c r="I29" s="36">
        <v>25</v>
      </c>
      <c r="J29" s="40" t="str">
        <f>IF(K29=0,0,VLOOKUP(K29,Sheet1!$A$1:$B$30,2))</f>
        <v>その他の経費</v>
      </c>
      <c r="K29" s="59">
        <v>10</v>
      </c>
      <c r="L29" s="66" t="str">
        <f>IF(M29=0,0,VLOOKUP(M29,Sheet1!$D$1:$E$30,2))</f>
        <v>電話代</v>
      </c>
      <c r="M29" s="36">
        <v>1</v>
      </c>
    </row>
    <row r="30" spans="1:13" ht="13.5">
      <c r="A30" s="36">
        <v>18</v>
      </c>
      <c r="B30" s="36">
        <v>10</v>
      </c>
      <c r="C30" s="36">
        <v>28</v>
      </c>
      <c r="D30" s="36">
        <v>11</v>
      </c>
      <c r="E30" s="36" t="s">
        <v>121</v>
      </c>
      <c r="F30" s="38"/>
      <c r="G30" s="38">
        <v>2727</v>
      </c>
      <c r="H30" s="39">
        <f>IF(F30="",IF(G30="","",SUM($F$2:F30)-SUM($G$2:G30)),SUM($F$2:F30)-SUM($G$2:G30))</f>
        <v>867632</v>
      </c>
      <c r="I30" s="36">
        <v>26</v>
      </c>
      <c r="J30" s="40" t="str">
        <f>IF(K30=0,0,VLOOKUP(K30,Sheet1!$A$1:$B$30,2))</f>
        <v>その他の経費</v>
      </c>
      <c r="K30" s="59">
        <v>10</v>
      </c>
      <c r="L30" s="66" t="str">
        <f>IF(M30=0,0,VLOOKUP(M30,Sheet1!$D$1:$E$30,2))</f>
        <v>電話代</v>
      </c>
      <c r="M30" s="36">
        <v>1</v>
      </c>
    </row>
    <row r="31" spans="1:13" ht="13.5">
      <c r="A31" s="36">
        <v>19</v>
      </c>
      <c r="B31" s="36">
        <v>3</v>
      </c>
      <c r="C31" s="36">
        <v>10</v>
      </c>
      <c r="D31" s="36">
        <v>3</v>
      </c>
      <c r="E31" s="36" t="s">
        <v>123</v>
      </c>
      <c r="F31" s="38"/>
      <c r="G31" s="38">
        <v>23000</v>
      </c>
      <c r="H31" s="39">
        <f>IF(F31="",IF(G31="","",SUM($F$2:F31)-SUM($G$2:G31)),SUM($F$2:F31)-SUM($G$2:G31))</f>
        <v>844632</v>
      </c>
      <c r="I31" s="36">
        <v>27</v>
      </c>
      <c r="J31" s="40" t="str">
        <f>IF(K31=0,0,VLOOKUP(K31,Sheet1!$A$1:$B$30,2))</f>
        <v>人件費</v>
      </c>
      <c r="K31" s="36">
        <v>7</v>
      </c>
      <c r="L31" s="66">
        <f>IF(M31=0,0,VLOOKUP(M31,Sheet1!$D$1:$E$30,2))</f>
        <v>0</v>
      </c>
      <c r="M31" s="36"/>
    </row>
    <row r="32" spans="1:13" ht="13.5">
      <c r="A32" s="36">
        <v>18</v>
      </c>
      <c r="B32" s="36">
        <v>12</v>
      </c>
      <c r="C32" s="36">
        <v>28</v>
      </c>
      <c r="D32" s="36">
        <v>12</v>
      </c>
      <c r="E32" s="36" t="s">
        <v>123</v>
      </c>
      <c r="F32" s="38"/>
      <c r="G32" s="38">
        <v>7000</v>
      </c>
      <c r="H32" s="39">
        <f>IF(F32="",IF(G32="","",SUM($F$2:F32)-SUM($G$2:G32)),SUM($F$2:F32)-SUM($G$2:G32))</f>
        <v>837632</v>
      </c>
      <c r="I32" s="36">
        <v>28</v>
      </c>
      <c r="J32" s="40" t="str">
        <f>IF(K32=0,0,VLOOKUP(K32,Sheet1!$A$1:$B$30,2))</f>
        <v>人件費</v>
      </c>
      <c r="K32" s="36">
        <v>7</v>
      </c>
      <c r="L32" s="66">
        <f>IF(M32=0,0,VLOOKUP(M32,Sheet1!$D$1:$E$30,2))</f>
        <v>0</v>
      </c>
      <c r="M32" s="36"/>
    </row>
    <row r="33" spans="1:13" ht="13.5">
      <c r="A33" s="36">
        <v>18</v>
      </c>
      <c r="B33" s="36">
        <v>10</v>
      </c>
      <c r="C33" s="36">
        <v>27</v>
      </c>
      <c r="D33" s="36">
        <v>10</v>
      </c>
      <c r="E33" s="36" t="s">
        <v>123</v>
      </c>
      <c r="F33" s="38"/>
      <c r="G33" s="38">
        <v>4000</v>
      </c>
      <c r="H33" s="39">
        <f>IF(F33="",IF(G33="","",SUM($F$2:F33)-SUM($G$2:G33)),SUM($F$2:F33)-SUM($G$2:G33))</f>
        <v>833632</v>
      </c>
      <c r="I33" s="36">
        <v>29</v>
      </c>
      <c r="J33" s="40" t="str">
        <f>IF(K33=0,0,VLOOKUP(K33,Sheet1!$A$1:$B$30,2))</f>
        <v>人件費</v>
      </c>
      <c r="K33" s="36">
        <v>7</v>
      </c>
      <c r="L33" s="66">
        <f>IF(M33=0,0,VLOOKUP(M33,Sheet1!$D$1:$E$30,2))</f>
        <v>0</v>
      </c>
      <c r="M33" s="36"/>
    </row>
    <row r="34" spans="1:13" ht="13.5">
      <c r="A34" s="36">
        <v>18</v>
      </c>
      <c r="B34" s="36">
        <v>9</v>
      </c>
      <c r="C34" s="36">
        <v>29</v>
      </c>
      <c r="D34" s="36">
        <v>9</v>
      </c>
      <c r="E34" s="36" t="s">
        <v>123</v>
      </c>
      <c r="F34" s="38"/>
      <c r="G34" s="38">
        <v>22000</v>
      </c>
      <c r="H34" s="39">
        <f>IF(F34="",IF(G34="","",SUM($F$2:F34)-SUM($G$2:G34)),SUM($F$2:F34)-SUM($G$2:G34))</f>
        <v>811632</v>
      </c>
      <c r="I34" s="36">
        <v>30</v>
      </c>
      <c r="J34" s="40" t="str">
        <f>IF(K34=0,0,VLOOKUP(K34,Sheet1!$A$1:$B$30,2))</f>
        <v>人件費</v>
      </c>
      <c r="K34" s="36">
        <v>7</v>
      </c>
      <c r="L34" s="66">
        <f>IF(M34=0,0,VLOOKUP(M34,Sheet1!$D$1:$E$30,2))</f>
        <v>0</v>
      </c>
      <c r="M34" s="36"/>
    </row>
    <row r="35" spans="1:13" ht="13.5">
      <c r="A35" s="36">
        <v>18</v>
      </c>
      <c r="B35" s="36">
        <v>7</v>
      </c>
      <c r="C35" s="36">
        <v>7</v>
      </c>
      <c r="D35" s="36">
        <v>7</v>
      </c>
      <c r="E35" s="36" t="s">
        <v>123</v>
      </c>
      <c r="F35" s="38"/>
      <c r="G35" s="38">
        <v>21000</v>
      </c>
      <c r="H35" s="39">
        <f>IF(F35="",IF(G35="","",SUM($F$2:F35)-SUM($G$2:G35)),SUM($F$2:F35)-SUM($G$2:G35))</f>
        <v>790632</v>
      </c>
      <c r="I35" s="36">
        <v>31</v>
      </c>
      <c r="J35" s="40" t="str">
        <f>IF(K35=0,0,VLOOKUP(K35,Sheet1!$A$1:$B$30,2))</f>
        <v>人件費</v>
      </c>
      <c r="K35" s="36">
        <v>7</v>
      </c>
      <c r="L35" s="66">
        <f>IF(M35=0,0,VLOOKUP(M35,Sheet1!$D$1:$E$30,2))</f>
        <v>0</v>
      </c>
      <c r="M35" s="36"/>
    </row>
    <row r="36" spans="1:13" ht="13.5">
      <c r="A36" s="36">
        <v>18</v>
      </c>
      <c r="B36" s="36">
        <v>4</v>
      </c>
      <c r="C36" s="36">
        <v>26</v>
      </c>
      <c r="D36" s="36">
        <v>4</v>
      </c>
      <c r="E36" s="36" t="s">
        <v>123</v>
      </c>
      <c r="F36" s="38"/>
      <c r="G36" s="38">
        <v>23000</v>
      </c>
      <c r="H36" s="39">
        <f>IF(F36="",IF(G36="","",SUM($F$2:F36)-SUM($G$2:G36)),SUM($F$2:F36)-SUM($G$2:G36))</f>
        <v>767632</v>
      </c>
      <c r="I36" s="36">
        <v>32</v>
      </c>
      <c r="J36" s="40" t="str">
        <f>IF(K36=0,0,VLOOKUP(K36,Sheet1!$A$1:$B$30,2))</f>
        <v>人件費</v>
      </c>
      <c r="K36" s="36">
        <v>7</v>
      </c>
      <c r="L36" s="66">
        <f>IF(M36=0,0,VLOOKUP(M36,Sheet1!$D$1:$E$30,2))</f>
        <v>0</v>
      </c>
      <c r="M36" s="36"/>
    </row>
    <row r="37" spans="1:13" ht="13.5">
      <c r="A37" s="36">
        <v>19</v>
      </c>
      <c r="B37" s="36">
        <v>1</v>
      </c>
      <c r="C37" s="36">
        <v>22</v>
      </c>
      <c r="D37" s="36">
        <v>1</v>
      </c>
      <c r="E37" s="36" t="s">
        <v>124</v>
      </c>
      <c r="F37" s="38"/>
      <c r="G37" s="38">
        <v>3000</v>
      </c>
      <c r="H37" s="39">
        <f>IF(F37="",IF(G37="","",SUM($F$2:F37)-SUM($G$2:G37)),SUM($F$2:F37)-SUM($G$2:G37))</f>
        <v>764632</v>
      </c>
      <c r="I37" s="36">
        <v>33</v>
      </c>
      <c r="J37" s="40" t="str">
        <f>IF(K37=0,0,VLOOKUP(K37,Sheet1!$A$1:$B$30,2))</f>
        <v>その他の経費</v>
      </c>
      <c r="K37" s="36">
        <v>10</v>
      </c>
      <c r="L37" s="66" t="str">
        <f>IF(M37=0,0,VLOOKUP(M37,Sheet1!$D$1:$E$30,2))</f>
        <v>交通費関係</v>
      </c>
      <c r="M37" s="36">
        <v>5</v>
      </c>
    </row>
    <row r="38" spans="1:13" ht="13.5">
      <c r="A38" s="36">
        <v>19</v>
      </c>
      <c r="B38" s="36">
        <v>2</v>
      </c>
      <c r="C38" s="36">
        <v>7</v>
      </c>
      <c r="D38" s="36">
        <v>2</v>
      </c>
      <c r="E38" s="36" t="s">
        <v>124</v>
      </c>
      <c r="F38" s="38"/>
      <c r="G38" s="38">
        <v>3000</v>
      </c>
      <c r="H38" s="39">
        <f>IF(F38="",IF(G38="","",SUM($F$2:F38)-SUM($G$2:G38)),SUM($F$2:F38)-SUM($G$2:G38))</f>
        <v>761632</v>
      </c>
      <c r="I38" s="36">
        <v>34</v>
      </c>
      <c r="J38" s="40" t="str">
        <f>IF(K38=0,0,VLOOKUP(K38,Sheet1!$A$1:$B$30,2))</f>
        <v>その他の経費</v>
      </c>
      <c r="K38" s="36">
        <v>10</v>
      </c>
      <c r="L38" s="66" t="str">
        <f>IF(M38=0,0,VLOOKUP(M38,Sheet1!$D$1:$E$30,2))</f>
        <v>交通費関係</v>
      </c>
      <c r="M38" s="36">
        <v>5</v>
      </c>
    </row>
    <row r="39" spans="1:13" ht="13.5">
      <c r="A39" s="36">
        <v>19</v>
      </c>
      <c r="B39" s="36">
        <v>1</v>
      </c>
      <c r="C39" s="36">
        <v>11</v>
      </c>
      <c r="D39" s="36">
        <v>1</v>
      </c>
      <c r="E39" s="36" t="s">
        <v>124</v>
      </c>
      <c r="F39" s="38"/>
      <c r="G39" s="38">
        <v>3000</v>
      </c>
      <c r="H39" s="39">
        <f>IF(F39="",IF(G39="","",SUM($F$2:F39)-SUM($G$2:G39)),SUM($F$2:F39)-SUM($G$2:G39))</f>
        <v>758632</v>
      </c>
      <c r="I39" s="36">
        <v>35</v>
      </c>
      <c r="J39" s="40" t="str">
        <f>IF(K39=0,0,VLOOKUP(K39,Sheet1!$A$1:$B$30,2))</f>
        <v>その他の経費</v>
      </c>
      <c r="K39" s="36">
        <v>10</v>
      </c>
      <c r="L39" s="66" t="str">
        <f>IF(M39=0,0,VLOOKUP(M39,Sheet1!$D$1:$E$30,2))</f>
        <v>交通費関係</v>
      </c>
      <c r="M39" s="36">
        <v>5</v>
      </c>
    </row>
    <row r="40" spans="1:13" ht="13.5">
      <c r="A40" s="36">
        <v>19</v>
      </c>
      <c r="B40" s="36">
        <v>2</v>
      </c>
      <c r="C40" s="36">
        <v>27</v>
      </c>
      <c r="D40" s="36">
        <v>2</v>
      </c>
      <c r="E40" s="36" t="s">
        <v>124</v>
      </c>
      <c r="F40" s="38"/>
      <c r="G40" s="38">
        <v>3000</v>
      </c>
      <c r="H40" s="39">
        <f>IF(F40="",IF(G40="","",SUM($F$2:F40)-SUM($G$2:G40)),SUM($F$2:F40)-SUM($G$2:G40))</f>
        <v>755632</v>
      </c>
      <c r="I40" s="36">
        <v>36</v>
      </c>
      <c r="J40" s="40" t="str">
        <f>IF(K40=0,0,VLOOKUP(K40,Sheet1!$A$1:$B$30,2))</f>
        <v>その他の経費</v>
      </c>
      <c r="K40" s="36">
        <v>10</v>
      </c>
      <c r="L40" s="66" t="str">
        <f>IF(M40=0,0,VLOOKUP(M40,Sheet1!$D$1:$E$30,2))</f>
        <v>交通費関係</v>
      </c>
      <c r="M40" s="36">
        <v>5</v>
      </c>
    </row>
    <row r="41" spans="1:13" ht="13.5">
      <c r="A41" s="36">
        <v>19</v>
      </c>
      <c r="B41" s="36">
        <v>3</v>
      </c>
      <c r="C41" s="36">
        <v>15</v>
      </c>
      <c r="D41" s="36">
        <v>3</v>
      </c>
      <c r="E41" s="36" t="s">
        <v>124</v>
      </c>
      <c r="F41" s="38"/>
      <c r="G41" s="38">
        <v>3000</v>
      </c>
      <c r="H41" s="39">
        <f>IF(F41="",IF(G41="","",SUM($F$2:F41)-SUM($G$2:G41)),SUM($F$2:F41)-SUM($G$2:G41))</f>
        <v>752632</v>
      </c>
      <c r="I41" s="36">
        <v>37</v>
      </c>
      <c r="J41" s="40" t="str">
        <f>IF(K41=0,0,VLOOKUP(K41,Sheet1!$A$1:$B$30,2))</f>
        <v>その他の経費</v>
      </c>
      <c r="K41" s="36">
        <v>10</v>
      </c>
      <c r="L41" s="66" t="str">
        <f>IF(M41=0,0,VLOOKUP(M41,Sheet1!$D$1:$E$30,2))</f>
        <v>交通費関係</v>
      </c>
      <c r="M41" s="36">
        <v>5</v>
      </c>
    </row>
    <row r="42" spans="1:13" ht="13.5">
      <c r="A42" s="36">
        <v>19</v>
      </c>
      <c r="B42" s="36">
        <v>3</v>
      </c>
      <c r="C42" s="36">
        <v>20</v>
      </c>
      <c r="D42" s="36">
        <v>3</v>
      </c>
      <c r="E42" s="36" t="s">
        <v>124</v>
      </c>
      <c r="F42" s="38"/>
      <c r="G42" s="38">
        <v>3000</v>
      </c>
      <c r="H42" s="39">
        <f>IF(F42="",IF(G42="","",SUM($F$2:F42)-SUM($G$2:G42)),SUM($F$2:F42)-SUM($G$2:G42))</f>
        <v>749632</v>
      </c>
      <c r="I42" s="36">
        <v>38</v>
      </c>
      <c r="J42" s="40" t="str">
        <f>IF(K42=0,0,VLOOKUP(K42,Sheet1!$A$1:$B$30,2))</f>
        <v>その他の経費</v>
      </c>
      <c r="K42" s="36">
        <v>10</v>
      </c>
      <c r="L42" s="66" t="str">
        <f>IF(M42=0,0,VLOOKUP(M42,Sheet1!$D$1:$E$30,2))</f>
        <v>交通費関係</v>
      </c>
      <c r="M42" s="36">
        <v>5</v>
      </c>
    </row>
    <row r="43" spans="1:13" ht="13.5">
      <c r="A43" s="36">
        <v>19</v>
      </c>
      <c r="B43" s="36">
        <v>3</v>
      </c>
      <c r="C43" s="36">
        <v>29</v>
      </c>
      <c r="D43" s="36">
        <v>3</v>
      </c>
      <c r="E43" s="36" t="s">
        <v>124</v>
      </c>
      <c r="F43" s="38"/>
      <c r="G43" s="38">
        <v>3000</v>
      </c>
      <c r="H43" s="39">
        <f>IF(F43="",IF(G43="","",SUM($F$2:F43)-SUM($G$2:G43)),SUM($F$2:F43)-SUM($G$2:G43))</f>
        <v>746632</v>
      </c>
      <c r="I43" s="36">
        <v>39</v>
      </c>
      <c r="J43" s="40" t="str">
        <f>IF(K43=0,0,VLOOKUP(K43,Sheet1!$A$1:$B$30,2))</f>
        <v>その他の経費</v>
      </c>
      <c r="K43" s="36">
        <v>10</v>
      </c>
      <c r="L43" s="66" t="str">
        <f>IF(M43=0,0,VLOOKUP(M43,Sheet1!$D$1:$E$30,2))</f>
        <v>交通費関係</v>
      </c>
      <c r="M43" s="36">
        <v>5</v>
      </c>
    </row>
    <row r="44" spans="1:13" ht="13.5">
      <c r="A44" s="36">
        <v>18</v>
      </c>
      <c r="B44" s="36">
        <v>7</v>
      </c>
      <c r="C44" s="36">
        <v>11</v>
      </c>
      <c r="D44" s="36">
        <v>7</v>
      </c>
      <c r="E44" s="36" t="s">
        <v>124</v>
      </c>
      <c r="F44" s="38"/>
      <c r="G44" s="38">
        <v>5000</v>
      </c>
      <c r="H44" s="39">
        <f>IF(F44="",IF(G44="","",SUM($F$2:F44)-SUM($G$2:G44)),SUM($F$2:F44)-SUM($G$2:G44))</f>
        <v>741632</v>
      </c>
      <c r="I44" s="36">
        <v>40</v>
      </c>
      <c r="J44" s="40" t="str">
        <f>IF(K44=0,0,VLOOKUP(K44,Sheet1!$A$1:$B$30,2))</f>
        <v>その他の経費</v>
      </c>
      <c r="K44" s="36">
        <v>10</v>
      </c>
      <c r="L44" s="66" t="str">
        <f>IF(M44=0,0,VLOOKUP(M44,Sheet1!$D$1:$E$30,2))</f>
        <v>交通費関係</v>
      </c>
      <c r="M44" s="36">
        <v>5</v>
      </c>
    </row>
    <row r="45" spans="1:13" ht="13.5">
      <c r="A45" s="36">
        <v>18</v>
      </c>
      <c r="B45" s="36">
        <v>7</v>
      </c>
      <c r="C45" s="36">
        <v>26</v>
      </c>
      <c r="D45" s="36">
        <v>7</v>
      </c>
      <c r="E45" s="36" t="s">
        <v>124</v>
      </c>
      <c r="F45" s="38"/>
      <c r="G45" s="38">
        <v>3000</v>
      </c>
      <c r="H45" s="39">
        <f>IF(F45="",IF(G45="","",SUM($F$2:F45)-SUM($G$2:G45)),SUM($F$2:F45)-SUM($G$2:G45))</f>
        <v>738632</v>
      </c>
      <c r="I45" s="36">
        <v>41</v>
      </c>
      <c r="J45" s="40" t="str">
        <f>IF(K45=0,0,VLOOKUP(K45,Sheet1!$A$1:$B$30,2))</f>
        <v>その他の経費</v>
      </c>
      <c r="K45" s="36">
        <v>10</v>
      </c>
      <c r="L45" s="66" t="str">
        <f>IF(M45=0,0,VLOOKUP(M45,Sheet1!$D$1:$E$30,2))</f>
        <v>交通費関係</v>
      </c>
      <c r="M45" s="36">
        <v>5</v>
      </c>
    </row>
    <row r="46" spans="1:13" ht="13.5">
      <c r="A46" s="36">
        <v>18</v>
      </c>
      <c r="B46" s="36">
        <v>8</v>
      </c>
      <c r="C46" s="36">
        <v>9</v>
      </c>
      <c r="D46" s="36">
        <v>8</v>
      </c>
      <c r="E46" s="36" t="s">
        <v>124</v>
      </c>
      <c r="F46" s="38"/>
      <c r="G46" s="38">
        <v>3000</v>
      </c>
      <c r="H46" s="39">
        <f>IF(F46="",IF(G46="","",SUM($F$2:F46)-SUM($G$2:G46)),SUM($F$2:F46)-SUM($G$2:G46))</f>
        <v>735632</v>
      </c>
      <c r="I46" s="36">
        <v>42</v>
      </c>
      <c r="J46" s="40" t="str">
        <f>IF(K46=0,0,VLOOKUP(K46,Sheet1!$A$1:$B$30,2))</f>
        <v>その他の経費</v>
      </c>
      <c r="K46" s="36">
        <v>10</v>
      </c>
      <c r="L46" s="66" t="str">
        <f>IF(M46=0,0,VLOOKUP(M46,Sheet1!$D$1:$E$30,2))</f>
        <v>交通費関係</v>
      </c>
      <c r="M46" s="36">
        <v>5</v>
      </c>
    </row>
    <row r="47" spans="1:13" ht="13.5">
      <c r="A47" s="36">
        <v>18</v>
      </c>
      <c r="B47" s="36">
        <v>9</v>
      </c>
      <c r="C47" s="36">
        <v>5</v>
      </c>
      <c r="D47" s="36">
        <v>9</v>
      </c>
      <c r="E47" s="36" t="s">
        <v>124</v>
      </c>
      <c r="F47" s="38"/>
      <c r="G47" s="38">
        <v>3000</v>
      </c>
      <c r="H47" s="39">
        <f>IF(F47="",IF(G47="","",SUM($F$2:F47)-SUM($G$2:G47)),SUM($F$2:F47)-SUM($G$2:G47))</f>
        <v>732632</v>
      </c>
      <c r="I47" s="36">
        <v>43</v>
      </c>
      <c r="J47" s="40" t="str">
        <f>IF(K47=0,0,VLOOKUP(K47,Sheet1!$A$1:$B$30,2))</f>
        <v>その他の経費</v>
      </c>
      <c r="K47" s="36">
        <v>10</v>
      </c>
      <c r="L47" s="66" t="str">
        <f>IF(M47=0,0,VLOOKUP(M47,Sheet1!$D$1:$E$30,2))</f>
        <v>交通費関係</v>
      </c>
      <c r="M47" s="36">
        <v>5</v>
      </c>
    </row>
    <row r="48" spans="1:13" ht="13.5">
      <c r="A48" s="36">
        <v>18</v>
      </c>
      <c r="B48" s="36">
        <v>9</v>
      </c>
      <c r="C48" s="36">
        <v>22</v>
      </c>
      <c r="D48" s="36">
        <v>9</v>
      </c>
      <c r="E48" s="36" t="s">
        <v>124</v>
      </c>
      <c r="F48" s="38"/>
      <c r="G48" s="38">
        <v>3000</v>
      </c>
      <c r="H48" s="39">
        <f>IF(F48="",IF(G48="","",SUM($F$2:F48)-SUM($G$2:G48)),SUM($F$2:F48)-SUM($G$2:G48))</f>
        <v>729632</v>
      </c>
      <c r="I48" s="36">
        <v>44</v>
      </c>
      <c r="J48" s="40" t="str">
        <f>IF(K48=0,0,VLOOKUP(K48,Sheet1!$A$1:$B$30,2))</f>
        <v>その他の経費</v>
      </c>
      <c r="K48" s="36">
        <v>10</v>
      </c>
      <c r="L48" s="66" t="str">
        <f>IF(M48=0,0,VLOOKUP(M48,Sheet1!$D$1:$E$30,2))</f>
        <v>交通費関係</v>
      </c>
      <c r="M48" s="36">
        <v>5</v>
      </c>
    </row>
    <row r="49" spans="1:13" ht="13.5">
      <c r="A49" s="36">
        <v>18</v>
      </c>
      <c r="B49" s="36">
        <v>10</v>
      </c>
      <c r="C49" s="36">
        <v>7</v>
      </c>
      <c r="D49" s="36">
        <v>10</v>
      </c>
      <c r="E49" s="36" t="s">
        <v>124</v>
      </c>
      <c r="F49" s="38"/>
      <c r="G49" s="38">
        <v>3000</v>
      </c>
      <c r="H49" s="39">
        <f>IF(F49="",IF(G49="","",SUM($F$2:F49)-SUM($G$2:G49)),SUM($F$2:F49)-SUM($G$2:G49))</f>
        <v>726632</v>
      </c>
      <c r="I49" s="36">
        <v>45</v>
      </c>
      <c r="J49" s="40" t="str">
        <f>IF(K49=0,0,VLOOKUP(K49,Sheet1!$A$1:$B$30,2))</f>
        <v>その他の経費</v>
      </c>
      <c r="K49" s="36">
        <v>10</v>
      </c>
      <c r="L49" s="66" t="str">
        <f>IF(M49=0,0,VLOOKUP(M49,Sheet1!$D$1:$E$30,2))</f>
        <v>交通費関係</v>
      </c>
      <c r="M49" s="36">
        <v>5</v>
      </c>
    </row>
    <row r="50" spans="1:13" ht="13.5">
      <c r="A50" s="36">
        <v>18</v>
      </c>
      <c r="B50" s="36">
        <v>10</v>
      </c>
      <c r="C50" s="36">
        <v>19</v>
      </c>
      <c r="D50" s="36">
        <v>10</v>
      </c>
      <c r="E50" s="36" t="s">
        <v>124</v>
      </c>
      <c r="F50" s="38"/>
      <c r="G50" s="38">
        <v>3000</v>
      </c>
      <c r="H50" s="39">
        <f>IF(F50="",IF(G50="","",SUM($F$2:F50)-SUM($G$2:G50)),SUM($F$2:F50)-SUM($G$2:G50))</f>
        <v>723632</v>
      </c>
      <c r="I50" s="36">
        <v>46</v>
      </c>
      <c r="J50" s="40" t="str">
        <f>IF(K50=0,0,VLOOKUP(K50,Sheet1!$A$1:$B$30,2))</f>
        <v>その他の経費</v>
      </c>
      <c r="K50" s="36">
        <v>10</v>
      </c>
      <c r="L50" s="66" t="str">
        <f>IF(M50=0,0,VLOOKUP(M50,Sheet1!$D$1:$E$30,2))</f>
        <v>交通費関係</v>
      </c>
      <c r="M50" s="36">
        <v>5</v>
      </c>
    </row>
    <row r="51" spans="1:13" ht="13.5">
      <c r="A51" s="36">
        <v>18</v>
      </c>
      <c r="B51" s="36">
        <v>12</v>
      </c>
      <c r="C51" s="36">
        <v>7</v>
      </c>
      <c r="D51" s="36">
        <v>12</v>
      </c>
      <c r="E51" s="36" t="s">
        <v>124</v>
      </c>
      <c r="F51" s="38"/>
      <c r="G51" s="38">
        <v>3000</v>
      </c>
      <c r="H51" s="39">
        <f>IF(F51="",IF(G51="","",SUM($F$2:F51)-SUM($G$2:G51)),SUM($F$2:F51)-SUM($G$2:G51))</f>
        <v>720632</v>
      </c>
      <c r="I51" s="36">
        <v>47</v>
      </c>
      <c r="J51" s="40" t="str">
        <f>IF(K51=0,0,VLOOKUP(K51,Sheet1!$A$1:$B$30,2))</f>
        <v>その他の経費</v>
      </c>
      <c r="K51" s="36">
        <v>10</v>
      </c>
      <c r="L51" s="66" t="str">
        <f>IF(M51=0,0,VLOOKUP(M51,Sheet1!$D$1:$E$30,2))</f>
        <v>交通費関係</v>
      </c>
      <c r="M51" s="36">
        <v>5</v>
      </c>
    </row>
    <row r="52" spans="1:13" ht="13.5">
      <c r="A52" s="36">
        <v>18</v>
      </c>
      <c r="B52" s="36">
        <v>11</v>
      </c>
      <c r="C52" s="36">
        <v>17</v>
      </c>
      <c r="D52" s="36">
        <v>11</v>
      </c>
      <c r="E52" s="36" t="s">
        <v>124</v>
      </c>
      <c r="F52" s="38"/>
      <c r="G52" s="38">
        <v>5000</v>
      </c>
      <c r="H52" s="39">
        <f>IF(F52="",IF(G52="","",SUM($F$2:F52)-SUM($G$2:G52)),SUM($F$2:F52)-SUM($G$2:G52))</f>
        <v>715632</v>
      </c>
      <c r="I52" s="36">
        <v>48</v>
      </c>
      <c r="J52" s="40" t="str">
        <f>IF(K52=0,0,VLOOKUP(K52,Sheet1!$A$1:$B$30,2))</f>
        <v>その他の経費</v>
      </c>
      <c r="K52" s="36">
        <v>10</v>
      </c>
      <c r="L52" s="66" t="str">
        <f>IF(M52=0,0,VLOOKUP(M52,Sheet1!$D$1:$E$30,2))</f>
        <v>交通費関係</v>
      </c>
      <c r="M52" s="36">
        <v>5</v>
      </c>
    </row>
    <row r="53" spans="1:13" ht="13.5">
      <c r="A53" s="36">
        <v>18</v>
      </c>
      <c r="B53" s="36">
        <v>11</v>
      </c>
      <c r="C53" s="36">
        <v>2</v>
      </c>
      <c r="D53" s="36">
        <v>11</v>
      </c>
      <c r="E53" s="36" t="s">
        <v>124</v>
      </c>
      <c r="F53" s="38"/>
      <c r="G53" s="38">
        <v>3000</v>
      </c>
      <c r="H53" s="39">
        <f>IF(F53="",IF(G53="","",SUM($F$2:F53)-SUM($G$2:G53)),SUM($F$2:F53)-SUM($G$2:G53))</f>
        <v>712632</v>
      </c>
      <c r="I53" s="36">
        <v>49</v>
      </c>
      <c r="J53" s="40" t="str">
        <f>IF(K53=0,0,VLOOKUP(K53,Sheet1!$A$1:$B$30,2))</f>
        <v>その他の経費</v>
      </c>
      <c r="K53" s="36">
        <v>10</v>
      </c>
      <c r="L53" s="66" t="str">
        <f>IF(M53=0,0,VLOOKUP(M53,Sheet1!$D$1:$E$30,2))</f>
        <v>交通費関係</v>
      </c>
      <c r="M53" s="36">
        <v>5</v>
      </c>
    </row>
    <row r="54" spans="1:13" ht="13.5">
      <c r="A54" s="36">
        <v>18</v>
      </c>
      <c r="B54" s="36">
        <v>12</v>
      </c>
      <c r="C54" s="36">
        <v>21</v>
      </c>
      <c r="D54" s="36">
        <v>12</v>
      </c>
      <c r="E54" s="36" t="s">
        <v>124</v>
      </c>
      <c r="F54" s="38"/>
      <c r="G54" s="38">
        <v>3000</v>
      </c>
      <c r="H54" s="39">
        <f>IF(F54="",IF(G54="","",SUM($F$2:F54)-SUM($G$2:G54)),SUM($F$2:F54)-SUM($G$2:G54))</f>
        <v>709632</v>
      </c>
      <c r="I54" s="36">
        <v>50</v>
      </c>
      <c r="J54" s="40" t="str">
        <f>IF(K54=0,0,VLOOKUP(K54,Sheet1!$A$1:$B$30,2))</f>
        <v>その他の経費</v>
      </c>
      <c r="K54" s="36">
        <v>10</v>
      </c>
      <c r="L54" s="66" t="str">
        <f>IF(M54=0,0,VLOOKUP(M54,Sheet1!$D$1:$E$30,2))</f>
        <v>交通費関係</v>
      </c>
      <c r="M54" s="36">
        <v>5</v>
      </c>
    </row>
    <row r="55" spans="1:13" ht="13.5">
      <c r="A55" s="36">
        <v>18</v>
      </c>
      <c r="B55" s="36">
        <v>8</v>
      </c>
      <c r="C55" s="36">
        <v>7</v>
      </c>
      <c r="D55" s="36">
        <v>8</v>
      </c>
      <c r="E55" s="36" t="s">
        <v>79</v>
      </c>
      <c r="F55" s="38"/>
      <c r="G55" s="38">
        <v>2256</v>
      </c>
      <c r="H55" s="39">
        <f>IF(F55="",IF(G55="","",SUM($F$2:F55)-SUM($G$2:G55)),SUM($F$2:F55)-SUM($G$2:G55))</f>
        <v>707376</v>
      </c>
      <c r="I55" s="36">
        <v>51</v>
      </c>
      <c r="J55" s="40" t="str">
        <f>IF(K55=0,0,VLOOKUP(K55,Sheet1!$A$1:$B$30,2))</f>
        <v>その他の経費</v>
      </c>
      <c r="K55" s="36">
        <v>10</v>
      </c>
      <c r="L55" s="66" t="str">
        <f>IF(M55=0,0,VLOOKUP(M55,Sheet1!$D$1:$E$30,2))</f>
        <v>ガソリン代</v>
      </c>
      <c r="M55" s="36">
        <v>2</v>
      </c>
    </row>
    <row r="56" spans="1:13" ht="13.5">
      <c r="A56" s="36">
        <v>18</v>
      </c>
      <c r="B56" s="36">
        <v>7</v>
      </c>
      <c r="C56" s="36">
        <v>16</v>
      </c>
      <c r="D56" s="36">
        <v>7</v>
      </c>
      <c r="E56" s="36" t="s">
        <v>79</v>
      </c>
      <c r="F56" s="38"/>
      <c r="G56" s="38">
        <v>2161</v>
      </c>
      <c r="H56" s="39">
        <f>IF(F56="",IF(G56="","",SUM($F$2:F56)-SUM($G$2:G56)),SUM($F$2:F56)-SUM($G$2:G56))</f>
        <v>705215</v>
      </c>
      <c r="I56" s="36">
        <v>52</v>
      </c>
      <c r="J56" s="40" t="str">
        <f>IF(K56=0,0,VLOOKUP(K56,Sheet1!$A$1:$B$30,2))</f>
        <v>その他の経費</v>
      </c>
      <c r="K56" s="36">
        <v>10</v>
      </c>
      <c r="L56" s="66" t="str">
        <f>IF(M56=0,0,VLOOKUP(M56,Sheet1!$D$1:$E$30,2))</f>
        <v>ガソリン代</v>
      </c>
      <c r="M56" s="36">
        <v>2</v>
      </c>
    </row>
    <row r="57" spans="1:13" ht="13.5">
      <c r="A57" s="36">
        <v>18</v>
      </c>
      <c r="B57" s="36">
        <v>7</v>
      </c>
      <c r="C57" s="36">
        <v>12</v>
      </c>
      <c r="D57" s="36">
        <v>7</v>
      </c>
      <c r="E57" s="36" t="s">
        <v>79</v>
      </c>
      <c r="F57" s="38"/>
      <c r="G57" s="38">
        <v>2006</v>
      </c>
      <c r="H57" s="39">
        <f>IF(F57="",IF(G57="","",SUM($F$2:F57)-SUM($G$2:G57)),SUM($F$2:F57)-SUM($G$2:G57))</f>
        <v>703209</v>
      </c>
      <c r="I57" s="36">
        <v>53</v>
      </c>
      <c r="J57" s="40" t="str">
        <f>IF(K57=0,0,VLOOKUP(K57,Sheet1!$A$1:$B$30,2))</f>
        <v>その他の経費</v>
      </c>
      <c r="K57" s="36">
        <v>10</v>
      </c>
      <c r="L57" s="66" t="str">
        <f>IF(M57=0,0,VLOOKUP(M57,Sheet1!$D$1:$E$30,2))</f>
        <v>ガソリン代</v>
      </c>
      <c r="M57" s="36">
        <v>2</v>
      </c>
    </row>
    <row r="58" spans="1:13" ht="13.5">
      <c r="A58" s="36">
        <v>18</v>
      </c>
      <c r="B58" s="36">
        <v>7</v>
      </c>
      <c r="C58" s="36">
        <v>2</v>
      </c>
      <c r="D58" s="36">
        <v>7</v>
      </c>
      <c r="E58" s="36" t="s">
        <v>79</v>
      </c>
      <c r="F58" s="38"/>
      <c r="G58" s="38">
        <v>1980</v>
      </c>
      <c r="H58" s="39">
        <f>IF(F58="",IF(G58="","",SUM($F$2:F58)-SUM($G$2:G58)),SUM($F$2:F58)-SUM($G$2:G58))</f>
        <v>701229</v>
      </c>
      <c r="I58" s="36">
        <v>54</v>
      </c>
      <c r="J58" s="40" t="str">
        <f>IF(K58=0,0,VLOOKUP(K58,Sheet1!$A$1:$B$30,2))</f>
        <v>その他の経費</v>
      </c>
      <c r="K58" s="36">
        <v>10</v>
      </c>
      <c r="L58" s="66" t="str">
        <f>IF(M58=0,0,VLOOKUP(M58,Sheet1!$D$1:$E$30,2))</f>
        <v>ガソリン代</v>
      </c>
      <c r="M58" s="36">
        <v>2</v>
      </c>
    </row>
    <row r="59" spans="1:13" ht="13.5">
      <c r="A59" s="36">
        <v>18</v>
      </c>
      <c r="B59" s="36">
        <v>6</v>
      </c>
      <c r="C59" s="36">
        <v>23</v>
      </c>
      <c r="D59" s="36">
        <v>6</v>
      </c>
      <c r="E59" s="36" t="s">
        <v>79</v>
      </c>
      <c r="F59" s="38"/>
      <c r="G59" s="38">
        <v>2601</v>
      </c>
      <c r="H59" s="39">
        <f>IF(F59="",IF(G59="","",SUM($F$2:F59)-SUM($G$2:G59)),SUM($F$2:F59)-SUM($G$2:G59))</f>
        <v>698628</v>
      </c>
      <c r="I59" s="36">
        <v>55</v>
      </c>
      <c r="J59" s="40" t="str">
        <f>IF(K59=0,0,VLOOKUP(K59,Sheet1!$A$1:$B$30,2))</f>
        <v>その他の経費</v>
      </c>
      <c r="K59" s="36">
        <v>10</v>
      </c>
      <c r="L59" s="66" t="str">
        <f>IF(M59=0,0,VLOOKUP(M59,Sheet1!$D$1:$E$30,2))</f>
        <v>ガソリン代</v>
      </c>
      <c r="M59" s="36">
        <v>2</v>
      </c>
    </row>
    <row r="60" spans="1:13" ht="13.5">
      <c r="A60" s="36">
        <v>18</v>
      </c>
      <c r="B60" s="36">
        <v>6</v>
      </c>
      <c r="C60" s="36">
        <v>6</v>
      </c>
      <c r="D60" s="36">
        <v>6</v>
      </c>
      <c r="E60" s="36" t="s">
        <v>79</v>
      </c>
      <c r="F60" s="38"/>
      <c r="G60" s="38">
        <v>2891</v>
      </c>
      <c r="H60" s="39">
        <f>IF(F60="",IF(G60="","",SUM($F$2:F60)-SUM($G$2:G60)),SUM($F$2:F60)-SUM($G$2:G60))</f>
        <v>695737</v>
      </c>
      <c r="I60" s="36">
        <v>56</v>
      </c>
      <c r="J60" s="40" t="str">
        <f>IF(K60=0,0,VLOOKUP(K60,Sheet1!$A$1:$B$30,2))</f>
        <v>その他の経費</v>
      </c>
      <c r="K60" s="36">
        <v>10</v>
      </c>
      <c r="L60" s="66" t="str">
        <f>IF(M60=0,0,VLOOKUP(M60,Sheet1!$D$1:$E$30,2))</f>
        <v>ガソリン代</v>
      </c>
      <c r="M60" s="36">
        <v>2</v>
      </c>
    </row>
    <row r="61" spans="1:13" ht="13.5">
      <c r="A61" s="36">
        <v>18</v>
      </c>
      <c r="B61" s="36">
        <v>5</v>
      </c>
      <c r="C61" s="36">
        <v>26</v>
      </c>
      <c r="D61" s="36">
        <v>5</v>
      </c>
      <c r="E61" s="36" t="s">
        <v>79</v>
      </c>
      <c r="F61" s="38"/>
      <c r="G61" s="38">
        <v>1693</v>
      </c>
      <c r="H61" s="39">
        <f>IF(F61="",IF(G61="","",SUM($F$2:F61)-SUM($G$2:G61)),SUM($F$2:F61)-SUM($G$2:G61))</f>
        <v>694044</v>
      </c>
      <c r="I61" s="36">
        <v>57</v>
      </c>
      <c r="J61" s="40" t="str">
        <f>IF(K61=0,0,VLOOKUP(K61,Sheet1!$A$1:$B$30,2))</f>
        <v>その他の経費</v>
      </c>
      <c r="K61" s="36">
        <v>10</v>
      </c>
      <c r="L61" s="66" t="str">
        <f>IF(M61=0,0,VLOOKUP(M61,Sheet1!$D$1:$E$30,2))</f>
        <v>ガソリン代</v>
      </c>
      <c r="M61" s="36">
        <v>2</v>
      </c>
    </row>
    <row r="62" spans="1:13" ht="13.5">
      <c r="A62" s="36">
        <v>18</v>
      </c>
      <c r="B62" s="36">
        <v>5</v>
      </c>
      <c r="C62" s="36">
        <v>3</v>
      </c>
      <c r="D62" s="36">
        <v>5</v>
      </c>
      <c r="E62" s="36" t="s">
        <v>79</v>
      </c>
      <c r="F62" s="38"/>
      <c r="G62" s="38">
        <v>1300</v>
      </c>
      <c r="H62" s="39">
        <f>IF(F62="",IF(G62="","",SUM($F$2:F62)-SUM($G$2:G62)),SUM($F$2:F62)-SUM($G$2:G62))</f>
        <v>692744</v>
      </c>
      <c r="I62" s="36">
        <v>58</v>
      </c>
      <c r="J62" s="40" t="str">
        <f>IF(K62=0,0,VLOOKUP(K62,Sheet1!$A$1:$B$30,2))</f>
        <v>その他の経費</v>
      </c>
      <c r="K62" s="36">
        <v>10</v>
      </c>
      <c r="L62" s="66" t="str">
        <f>IF(M62=0,0,VLOOKUP(M62,Sheet1!$D$1:$E$30,2))</f>
        <v>ガソリン代</v>
      </c>
      <c r="M62" s="36">
        <v>2</v>
      </c>
    </row>
    <row r="63" spans="1:13" ht="13.5">
      <c r="A63" s="36">
        <v>18</v>
      </c>
      <c r="B63" s="36">
        <v>4</v>
      </c>
      <c r="C63" s="36">
        <v>5</v>
      </c>
      <c r="D63" s="36">
        <v>4</v>
      </c>
      <c r="E63" s="36" t="s">
        <v>79</v>
      </c>
      <c r="F63" s="38"/>
      <c r="G63" s="38">
        <v>2460</v>
      </c>
      <c r="H63" s="39">
        <f>IF(F63="",IF(G63="","",SUM($F$2:F63)-SUM($G$2:G63)),SUM($F$2:F63)-SUM($G$2:G63))</f>
        <v>690284</v>
      </c>
      <c r="I63" s="36">
        <v>59</v>
      </c>
      <c r="J63" s="40" t="str">
        <f>IF(K63=0,0,VLOOKUP(K63,Sheet1!$A$1:$B$30,2))</f>
        <v>その他の経費</v>
      </c>
      <c r="K63" s="36">
        <v>10</v>
      </c>
      <c r="L63" s="66" t="str">
        <f>IF(M63=0,0,VLOOKUP(M63,Sheet1!$D$1:$E$30,2))</f>
        <v>ガソリン代</v>
      </c>
      <c r="M63" s="36">
        <v>2</v>
      </c>
    </row>
    <row r="64" spans="1:13" ht="13.5">
      <c r="A64" s="36">
        <v>18</v>
      </c>
      <c r="B64" s="36">
        <v>5</v>
      </c>
      <c r="C64" s="36">
        <v>8</v>
      </c>
      <c r="D64" s="36">
        <v>5</v>
      </c>
      <c r="E64" s="36" t="s">
        <v>125</v>
      </c>
      <c r="F64" s="38"/>
      <c r="G64" s="38">
        <v>1198</v>
      </c>
      <c r="H64" s="39">
        <f>IF(F64="",IF(G64="","",SUM($F$2:F64)-SUM($G$2:G64)),SUM($F$2:F64)-SUM($G$2:G64))</f>
        <v>689086</v>
      </c>
      <c r="I64" s="36">
        <v>60</v>
      </c>
      <c r="J64" s="40" t="str">
        <f>IF(K64=0,0,VLOOKUP(K64,Sheet1!$A$1:$B$30,2))</f>
        <v>資料作成費</v>
      </c>
      <c r="K64" s="36">
        <v>3</v>
      </c>
      <c r="L64" s="66">
        <f>IF(M64=0,0,VLOOKUP(M64,Sheet1!$D$1:$E$30,2))</f>
        <v>0</v>
      </c>
      <c r="M64" s="36"/>
    </row>
    <row r="65" spans="1:13" ht="13.5">
      <c r="A65" s="36">
        <v>18</v>
      </c>
      <c r="B65" s="36">
        <v>5</v>
      </c>
      <c r="C65" s="36">
        <v>10</v>
      </c>
      <c r="D65" s="36">
        <v>5</v>
      </c>
      <c r="E65" s="36" t="s">
        <v>126</v>
      </c>
      <c r="F65" s="38"/>
      <c r="G65" s="38">
        <v>1680</v>
      </c>
      <c r="H65" s="39">
        <f>IF(F65="",IF(G65="","",SUM($F$2:F65)-SUM($G$2:G65)),SUM($F$2:F65)-SUM($G$2:G65))</f>
        <v>687406</v>
      </c>
      <c r="I65" s="36">
        <v>61</v>
      </c>
      <c r="J65" s="40" t="str">
        <f>IF(K65=0,0,VLOOKUP(K65,Sheet1!$A$1:$B$30,2))</f>
        <v>資料購入費</v>
      </c>
      <c r="K65" s="36">
        <v>4</v>
      </c>
      <c r="L65" s="66">
        <f>IF(M65=0,0,VLOOKUP(M65,Sheet1!$D$1:$E$30,2))</f>
        <v>0</v>
      </c>
      <c r="M65" s="36"/>
    </row>
    <row r="66" spans="1:13" ht="13.5">
      <c r="A66" s="36">
        <v>18</v>
      </c>
      <c r="B66" s="36">
        <v>7</v>
      </c>
      <c r="C66" s="36">
        <v>11</v>
      </c>
      <c r="D66" s="36">
        <v>7</v>
      </c>
      <c r="E66" s="36" t="s">
        <v>125</v>
      </c>
      <c r="F66" s="38"/>
      <c r="G66" s="38">
        <v>1198</v>
      </c>
      <c r="H66" s="39">
        <f>IF(F66="",IF(G66="","",SUM($F$2:F66)-SUM($G$2:G66)),SUM($F$2:F66)-SUM($G$2:G66))</f>
        <v>686208</v>
      </c>
      <c r="I66" s="36">
        <v>62</v>
      </c>
      <c r="J66" s="40" t="str">
        <f>IF(K66=0,0,VLOOKUP(K66,Sheet1!$A$1:$B$30,2))</f>
        <v>資料作成費</v>
      </c>
      <c r="K66" s="36">
        <v>3</v>
      </c>
      <c r="L66" s="66">
        <f>IF(M66=0,0,VLOOKUP(M66,Sheet1!$D$1:$E$30,2))</f>
        <v>0</v>
      </c>
      <c r="M66" s="36"/>
    </row>
    <row r="67" spans="1:13" ht="13.5">
      <c r="A67" s="36">
        <v>18</v>
      </c>
      <c r="B67" s="36">
        <v>7</v>
      </c>
      <c r="C67" s="36">
        <v>11</v>
      </c>
      <c r="D67" s="36">
        <v>7</v>
      </c>
      <c r="E67" s="36" t="s">
        <v>125</v>
      </c>
      <c r="F67" s="38"/>
      <c r="G67" s="38">
        <v>1940</v>
      </c>
      <c r="H67" s="39">
        <f>IF(F67="",IF(G67="","",SUM($F$2:F67)-SUM($G$2:G67)),SUM($F$2:F67)-SUM($G$2:G67))</f>
        <v>684268</v>
      </c>
      <c r="I67" s="36">
        <v>63</v>
      </c>
      <c r="J67" s="40" t="str">
        <f>IF(K67=0,0,VLOOKUP(K67,Sheet1!$A$1:$B$30,2))</f>
        <v>資料作成費</v>
      </c>
      <c r="K67" s="36">
        <v>3</v>
      </c>
      <c r="L67" s="66">
        <f>IF(M67=0,0,VLOOKUP(M67,Sheet1!$D$1:$E$30,2))</f>
        <v>0</v>
      </c>
      <c r="M67" s="36"/>
    </row>
    <row r="68" spans="1:13" ht="13.5">
      <c r="A68" s="36">
        <v>18</v>
      </c>
      <c r="B68" s="36">
        <v>11</v>
      </c>
      <c r="C68" s="36">
        <v>22</v>
      </c>
      <c r="D68" s="36">
        <v>11</v>
      </c>
      <c r="E68" s="36" t="s">
        <v>125</v>
      </c>
      <c r="F68" s="38"/>
      <c r="G68" s="38">
        <v>1198</v>
      </c>
      <c r="H68" s="39">
        <f>IF(F68="",IF(G68="","",SUM($F$2:F68)-SUM($G$2:G68)),SUM($F$2:F68)-SUM($G$2:G68))</f>
        <v>683070</v>
      </c>
      <c r="I68" s="36">
        <v>64</v>
      </c>
      <c r="J68" s="40" t="str">
        <f>IF(K68=0,0,VLOOKUP(K68,Sheet1!$A$1:$B$30,2))</f>
        <v>資料作成費</v>
      </c>
      <c r="K68" s="36">
        <v>3</v>
      </c>
      <c r="L68" s="66">
        <f>IF(M68=0,0,VLOOKUP(M68,Sheet1!$D$1:$E$30,2))</f>
        <v>0</v>
      </c>
      <c r="M68" s="36"/>
    </row>
    <row r="69" spans="1:13" ht="13.5">
      <c r="A69" s="36">
        <v>19</v>
      </c>
      <c r="B69" s="36">
        <v>1</v>
      </c>
      <c r="C69" s="36">
        <v>10</v>
      </c>
      <c r="D69" s="36">
        <v>1</v>
      </c>
      <c r="E69" s="36" t="s">
        <v>144</v>
      </c>
      <c r="F69" s="38"/>
      <c r="G69" s="38">
        <v>5240</v>
      </c>
      <c r="H69" s="39">
        <f>IF(F69="",IF(G69="","",SUM($F$2:F69)-SUM($G$2:G69)),SUM($F$2:F69)-SUM($G$2:G69))</f>
        <v>677830</v>
      </c>
      <c r="I69" s="36">
        <v>65</v>
      </c>
      <c r="J69" s="40" t="str">
        <f>IF(K69=0,0,VLOOKUP(K69,Sheet1!$A$1:$B$30,2))</f>
        <v>事務所費</v>
      </c>
      <c r="K69" s="36">
        <v>8</v>
      </c>
      <c r="L69" s="66">
        <f>IF(M69=0,0,VLOOKUP(M69,Sheet1!$D$1:$E$30,2))</f>
        <v>0</v>
      </c>
      <c r="M69" s="36"/>
    </row>
    <row r="70" spans="1:13" ht="13.5">
      <c r="A70" s="36">
        <v>18</v>
      </c>
      <c r="B70" s="36">
        <v>7</v>
      </c>
      <c r="C70" s="36">
        <v>3</v>
      </c>
      <c r="D70" s="36">
        <v>7</v>
      </c>
      <c r="E70" s="36" t="s">
        <v>127</v>
      </c>
      <c r="F70" s="38"/>
      <c r="G70" s="38">
        <v>3080</v>
      </c>
      <c r="H70" s="39">
        <f>IF(F70="",IF(G70="","",SUM($F$2:F70)-SUM($G$2:G70)),SUM($F$2:F70)-SUM($G$2:G70))</f>
        <v>674750</v>
      </c>
      <c r="I70" s="36">
        <v>67</v>
      </c>
      <c r="J70" s="40" t="str">
        <f>IF(K70=0,0,VLOOKUP(K70,Sheet1!$A$1:$B$30,2))</f>
        <v>事務所費</v>
      </c>
      <c r="K70" s="36">
        <v>8</v>
      </c>
      <c r="L70" s="66">
        <f>IF(M70=0,0,VLOOKUP(M70,Sheet1!$D$1:$E$30,2))</f>
        <v>0</v>
      </c>
      <c r="M70" s="36"/>
    </row>
    <row r="71" spans="1:13" ht="13.5">
      <c r="A71" s="36">
        <v>18</v>
      </c>
      <c r="B71" s="36">
        <v>7</v>
      </c>
      <c r="C71" s="36">
        <v>29</v>
      </c>
      <c r="D71" s="36">
        <v>7</v>
      </c>
      <c r="E71" s="36" t="s">
        <v>128</v>
      </c>
      <c r="F71" s="38"/>
      <c r="G71" s="38">
        <v>2321</v>
      </c>
      <c r="H71" s="39">
        <f>IF(F71="",IF(G71="","",SUM($F$2:F71)-SUM($G$2:G71)),SUM($F$2:F71)-SUM($G$2:G71))</f>
        <v>672429</v>
      </c>
      <c r="I71" s="36">
        <v>68</v>
      </c>
      <c r="J71" s="40" t="str">
        <f>IF(K71=0,0,VLOOKUP(K71,Sheet1!$A$1:$B$30,2))</f>
        <v>事務所費</v>
      </c>
      <c r="K71" s="36">
        <v>8</v>
      </c>
      <c r="L71" s="66">
        <f>IF(M71=0,0,VLOOKUP(M71,Sheet1!$D$1:$E$30,2))</f>
        <v>0</v>
      </c>
      <c r="M71" s="36"/>
    </row>
    <row r="72" spans="1:13" ht="13.5">
      <c r="A72" s="36">
        <v>18</v>
      </c>
      <c r="B72" s="36">
        <v>6</v>
      </c>
      <c r="C72" s="36">
        <v>17</v>
      </c>
      <c r="D72" s="36">
        <v>6</v>
      </c>
      <c r="E72" s="36" t="s">
        <v>129</v>
      </c>
      <c r="F72" s="38"/>
      <c r="G72" s="38">
        <v>3150</v>
      </c>
      <c r="H72" s="39">
        <f>IF(F72="",IF(G72="","",SUM($F$2:F72)-SUM($G$2:G72)),SUM($F$2:F72)-SUM($G$2:G72))</f>
        <v>669279</v>
      </c>
      <c r="I72" s="36">
        <v>69</v>
      </c>
      <c r="J72" s="40" t="str">
        <f>IF(K72=0,0,VLOOKUP(K72,Sheet1!$A$1:$B$30,2))</f>
        <v>事務所費</v>
      </c>
      <c r="K72" s="36">
        <v>8</v>
      </c>
      <c r="L72" s="66">
        <f>IF(M72=0,0,VLOOKUP(M72,Sheet1!$D$1:$E$30,2))</f>
        <v>0</v>
      </c>
      <c r="M72" s="36"/>
    </row>
    <row r="73" spans="1:13" ht="13.5">
      <c r="A73" s="36">
        <v>18</v>
      </c>
      <c r="B73" s="36">
        <v>5</v>
      </c>
      <c r="C73" s="36">
        <v>23</v>
      </c>
      <c r="D73" s="36">
        <v>5</v>
      </c>
      <c r="E73" s="36" t="s">
        <v>130</v>
      </c>
      <c r="F73" s="38"/>
      <c r="G73" s="38">
        <v>280</v>
      </c>
      <c r="H73" s="39">
        <f>IF(F73="",IF(G73="","",SUM($F$2:F73)-SUM($G$2:G73)),SUM($F$2:F73)-SUM($G$2:G73))</f>
        <v>668999</v>
      </c>
      <c r="I73" s="36">
        <v>70</v>
      </c>
      <c r="J73" s="40" t="str">
        <f>IF(K73=0,0,VLOOKUP(K73,Sheet1!$A$1:$B$30,2))</f>
        <v>その他の経費</v>
      </c>
      <c r="K73" s="36">
        <v>10</v>
      </c>
      <c r="L73" s="66">
        <f>IF(M73=0,0,VLOOKUP(M73,Sheet1!$D$1:$E$30,2))</f>
        <v>0</v>
      </c>
      <c r="M73" s="36"/>
    </row>
    <row r="74" spans="1:13" ht="13.5">
      <c r="A74" s="36">
        <v>18</v>
      </c>
      <c r="B74" s="36">
        <v>12</v>
      </c>
      <c r="C74" s="36">
        <v>25</v>
      </c>
      <c r="D74" s="36">
        <v>12</v>
      </c>
      <c r="E74" s="36" t="s">
        <v>131</v>
      </c>
      <c r="F74" s="38"/>
      <c r="G74" s="38">
        <v>4000</v>
      </c>
      <c r="H74" s="39">
        <f>IF(F74="",IF(G74="","",SUM($F$2:F74)-SUM($G$2:G74)),SUM($F$2:F74)-SUM($G$2:G74))</f>
        <v>664999</v>
      </c>
      <c r="I74" s="36">
        <v>71</v>
      </c>
      <c r="J74" s="40" t="str">
        <f>IF(K74=0,0,VLOOKUP(K74,Sheet1!$A$1:$B$30,2))</f>
        <v>資料購入費</v>
      </c>
      <c r="K74" s="36">
        <v>4</v>
      </c>
      <c r="L74" s="66">
        <f>IF(M74=0,0,VLOOKUP(M74,Sheet1!$D$1:$E$30,2))</f>
        <v>0</v>
      </c>
      <c r="M74" s="36"/>
    </row>
    <row r="75" spans="1:13" ht="13.5">
      <c r="A75" s="36">
        <v>19</v>
      </c>
      <c r="B75" s="36">
        <v>2</v>
      </c>
      <c r="C75" s="36">
        <v>1</v>
      </c>
      <c r="D75" s="36">
        <v>2</v>
      </c>
      <c r="E75" s="36" t="s">
        <v>132</v>
      </c>
      <c r="F75" s="38"/>
      <c r="G75" s="38">
        <v>7350</v>
      </c>
      <c r="H75" s="39">
        <f>IF(F75="",IF(G75="","",SUM($F$2:F75)-SUM($G$2:G75)),SUM($F$2:F75)-SUM($G$2:G75))</f>
        <v>657649</v>
      </c>
      <c r="I75" s="36">
        <v>72</v>
      </c>
      <c r="J75" s="40" t="str">
        <f>IF(K75=0,0,VLOOKUP(K75,Sheet1!$A$1:$B$30,2))</f>
        <v>事務所費</v>
      </c>
      <c r="K75" s="36">
        <v>8</v>
      </c>
      <c r="L75" s="66">
        <f>IF(M75=0,0,VLOOKUP(M75,Sheet1!$D$1:$E$30,2))</f>
        <v>0</v>
      </c>
      <c r="M75" s="36"/>
    </row>
    <row r="76" spans="1:13" ht="13.5">
      <c r="A76" s="36">
        <v>18</v>
      </c>
      <c r="B76" s="36">
        <v>11</v>
      </c>
      <c r="C76" s="36">
        <v>5</v>
      </c>
      <c r="D76" s="36">
        <v>11</v>
      </c>
      <c r="E76" s="36" t="s">
        <v>133</v>
      </c>
      <c r="F76" s="38"/>
      <c r="G76" s="38">
        <v>1220</v>
      </c>
      <c r="H76" s="39">
        <f>IF(F76="",IF(G76="","",SUM($F$2:F76)-SUM($G$2:G76)),SUM($F$2:F76)-SUM($G$2:G76))</f>
        <v>656429</v>
      </c>
      <c r="I76" s="36">
        <v>73</v>
      </c>
      <c r="J76" s="40" t="str">
        <f>IF(K76=0,0,VLOOKUP(K76,Sheet1!$A$1:$B$30,2))</f>
        <v>その他の経費</v>
      </c>
      <c r="K76" s="36">
        <v>10</v>
      </c>
      <c r="L76" s="66" t="str">
        <f>IF(M76=0,0,VLOOKUP(M76,Sheet1!$D$1:$E$30,2))</f>
        <v>交通費関係</v>
      </c>
      <c r="M76" s="36">
        <v>5</v>
      </c>
    </row>
    <row r="77" spans="1:13" ht="13.5">
      <c r="A77" s="36">
        <v>18</v>
      </c>
      <c r="B77" s="36">
        <v>5</v>
      </c>
      <c r="C77" s="36">
        <v>8</v>
      </c>
      <c r="D77" s="36">
        <v>5</v>
      </c>
      <c r="E77" s="36" t="s">
        <v>134</v>
      </c>
      <c r="F77" s="38"/>
      <c r="G77" s="38">
        <v>10000</v>
      </c>
      <c r="H77" s="39">
        <f>IF(F77="",IF(G77="","",SUM($F$2:F77)-SUM($G$2:G77)),SUM($F$2:F77)-SUM($G$2:G77))</f>
        <v>646429</v>
      </c>
      <c r="I77" s="36">
        <v>74</v>
      </c>
      <c r="J77" s="40" t="str">
        <f>IF(K77=0,0,VLOOKUP(K77,Sheet1!$A$1:$B$30,2))</f>
        <v>資料購入費</v>
      </c>
      <c r="K77" s="36">
        <v>4</v>
      </c>
      <c r="L77" s="66">
        <f>IF(M77=0,0,VLOOKUP(M77,Sheet1!$D$1:$E$30,2))</f>
        <v>0</v>
      </c>
      <c r="M77" s="36"/>
    </row>
    <row r="78" spans="1:13" ht="13.5">
      <c r="A78" s="36">
        <v>18</v>
      </c>
      <c r="B78" s="36">
        <v>7</v>
      </c>
      <c r="C78" s="36">
        <v>25</v>
      </c>
      <c r="D78" s="36">
        <v>7</v>
      </c>
      <c r="E78" s="36" t="s">
        <v>135</v>
      </c>
      <c r="F78" s="38"/>
      <c r="G78" s="38">
        <v>273000</v>
      </c>
      <c r="H78" s="39">
        <f>IF(F78="",IF(G78="","",SUM($F$2:F78)-SUM($G$2:G78)),SUM($F$2:F78)-SUM($G$2:G78))</f>
        <v>373429</v>
      </c>
      <c r="I78" s="36">
        <v>75</v>
      </c>
      <c r="J78" s="40" t="str">
        <f>IF(K78=0,0,VLOOKUP(K78,Sheet1!$A$1:$B$30,2))</f>
        <v>広報費</v>
      </c>
      <c r="K78" s="36">
        <v>5</v>
      </c>
      <c r="L78" s="66">
        <f>IF(M78=0,0,VLOOKUP(M78,Sheet1!$D$1:$E$30,2))</f>
        <v>0</v>
      </c>
      <c r="M78" s="36"/>
    </row>
    <row r="79" spans="1:13" ht="13.5">
      <c r="A79" s="36">
        <v>18</v>
      </c>
      <c r="B79" s="36">
        <v>11</v>
      </c>
      <c r="C79" s="36">
        <v>2</v>
      </c>
      <c r="D79" s="36">
        <v>11</v>
      </c>
      <c r="E79" s="36" t="s">
        <v>135</v>
      </c>
      <c r="F79" s="38"/>
      <c r="G79" s="38">
        <v>284340</v>
      </c>
      <c r="H79" s="39">
        <f>IF(F79="",IF(G79="","",SUM($F$2:F79)-SUM($G$2:G79)),SUM($F$2:F79)-SUM($G$2:G79))</f>
        <v>89089</v>
      </c>
      <c r="I79" s="36">
        <v>76</v>
      </c>
      <c r="J79" s="40" t="str">
        <f>IF(K79=0,0,VLOOKUP(K79,Sheet1!$A$1:$B$30,2))</f>
        <v>広報費</v>
      </c>
      <c r="K79" s="36">
        <v>5</v>
      </c>
      <c r="L79" s="66">
        <f>IF(M79=0,0,VLOOKUP(M79,Sheet1!$D$1:$E$30,2))</f>
        <v>0</v>
      </c>
      <c r="M79" s="36"/>
    </row>
    <row r="80" spans="1:13" ht="13.5">
      <c r="A80" s="36">
        <v>19</v>
      </c>
      <c r="B80" s="36">
        <v>1</v>
      </c>
      <c r="C80" s="36">
        <v>15</v>
      </c>
      <c r="D80" s="36">
        <v>1</v>
      </c>
      <c r="E80" s="36" t="s">
        <v>135</v>
      </c>
      <c r="F80" s="38"/>
      <c r="G80" s="38">
        <v>284340</v>
      </c>
      <c r="H80" s="39">
        <f>IF(F80="",IF(G80="","",SUM($F$2:F80)-SUM($G$2:G80)),SUM($F$2:F80)-SUM($G$2:G80))</f>
        <v>-195251</v>
      </c>
      <c r="I80" s="36">
        <v>77</v>
      </c>
      <c r="J80" s="40" t="str">
        <f>IF(K80=0,0,VLOOKUP(K80,Sheet1!$A$1:$B$30,2))</f>
        <v>広報費</v>
      </c>
      <c r="K80" s="36">
        <v>5</v>
      </c>
      <c r="L80" s="66">
        <f>IF(M80=0,0,VLOOKUP(M80,Sheet1!$D$1:$E$30,2))</f>
        <v>0</v>
      </c>
      <c r="M80" s="36"/>
    </row>
    <row r="81" spans="1:13" ht="13.5">
      <c r="A81" s="36">
        <v>18</v>
      </c>
      <c r="B81" s="36">
        <v>7</v>
      </c>
      <c r="C81" s="36">
        <v>20</v>
      </c>
      <c r="D81" s="36">
        <v>7</v>
      </c>
      <c r="E81" s="36" t="s">
        <v>136</v>
      </c>
      <c r="F81" s="38"/>
      <c r="G81" s="38">
        <v>2400</v>
      </c>
      <c r="H81" s="39">
        <f>IF(F81="",IF(G81="","",SUM($F$2:F81)-SUM($G$2:G81)),SUM($F$2:F81)-SUM($G$2:G81))</f>
        <v>-197651</v>
      </c>
      <c r="I81" s="36">
        <v>78</v>
      </c>
      <c r="J81" s="40" t="str">
        <f>IF(K81=0,0,VLOOKUP(K81,Sheet1!$A$1:$B$30,2))</f>
        <v>研究研修費</v>
      </c>
      <c r="K81" s="36">
        <v>1</v>
      </c>
      <c r="L81" s="66">
        <f>IF(M81=0,0,VLOOKUP(M81,Sheet1!$D$1:$E$30,2))</f>
        <v>0</v>
      </c>
      <c r="M81" s="36"/>
    </row>
    <row r="82" spans="1:13" ht="13.5">
      <c r="A82" s="36">
        <v>19</v>
      </c>
      <c r="B82" s="36">
        <v>3</v>
      </c>
      <c r="C82" s="36">
        <v>16</v>
      </c>
      <c r="D82" s="36">
        <v>3</v>
      </c>
      <c r="E82" s="36" t="s">
        <v>137</v>
      </c>
      <c r="F82" s="38"/>
      <c r="G82" s="38">
        <v>2395</v>
      </c>
      <c r="H82" s="39">
        <f>IF(F82="",IF(G82="","",SUM($F$2:F82)-SUM($G$2:G82)),SUM($F$2:F82)-SUM($G$2:G82))</f>
        <v>-200046</v>
      </c>
      <c r="I82" s="36">
        <v>79</v>
      </c>
      <c r="J82" s="40" t="str">
        <f>IF(K82=0,0,VLOOKUP(K82,Sheet1!$A$1:$B$30,2))</f>
        <v>事務所費</v>
      </c>
      <c r="K82" s="36">
        <v>8</v>
      </c>
      <c r="L82" s="66">
        <f>IF(M82=0,0,VLOOKUP(M82,Sheet1!$D$1:$E$30,2))</f>
        <v>0</v>
      </c>
      <c r="M82" s="36"/>
    </row>
    <row r="83" spans="1:13" ht="13.5">
      <c r="A83" s="36">
        <v>18</v>
      </c>
      <c r="B83" s="36">
        <v>8</v>
      </c>
      <c r="C83" s="36">
        <v>4</v>
      </c>
      <c r="D83" s="36">
        <v>8</v>
      </c>
      <c r="E83" s="102" t="s">
        <v>138</v>
      </c>
      <c r="F83" s="38"/>
      <c r="G83" s="38">
        <v>4000</v>
      </c>
      <c r="H83" s="39">
        <f>IF(F83="",IF(G83="","",SUM($F$2:F83)-SUM($G$2:G83)),SUM($F$2:F83)-SUM($G$2:G83))</f>
        <v>-204046</v>
      </c>
      <c r="I83" s="36">
        <v>80</v>
      </c>
      <c r="J83" s="40" t="str">
        <f>IF(K83=0,0,VLOOKUP(K83,Sheet1!$A$1:$B$30,2))</f>
        <v>研究研修費</v>
      </c>
      <c r="K83" s="36">
        <v>1</v>
      </c>
      <c r="L83" s="66">
        <f>IF(M83=0,0,VLOOKUP(M83,Sheet1!$D$1:$E$30,2))</f>
        <v>0</v>
      </c>
      <c r="M83" s="36"/>
    </row>
    <row r="84" spans="1:13" ht="13.5">
      <c r="A84" s="36">
        <v>18</v>
      </c>
      <c r="B84" s="36">
        <v>8</v>
      </c>
      <c r="C84" s="36">
        <v>4</v>
      </c>
      <c r="D84" s="36">
        <v>8</v>
      </c>
      <c r="E84" s="102" t="s">
        <v>139</v>
      </c>
      <c r="F84" s="38"/>
      <c r="G84" s="103">
        <v>2000</v>
      </c>
      <c r="H84" s="39">
        <f>IF(F84="",IF(G84="","",SUM($F$2:F84)-SUM($G$2:G84)),SUM($F$2:F84)-SUM($G$2:G84))</f>
        <v>-206046</v>
      </c>
      <c r="I84" s="36">
        <v>81</v>
      </c>
      <c r="J84" s="40" t="str">
        <f>IF(K84=0,0,VLOOKUP(K84,Sheet1!$A$1:$B$30,2))</f>
        <v>研究研修費</v>
      </c>
      <c r="K84" s="36">
        <v>1</v>
      </c>
      <c r="L84" s="66">
        <f>IF(M84=0,0,VLOOKUP(M84,Sheet1!$D$1:$E$30,2))</f>
        <v>0</v>
      </c>
      <c r="M84" s="36"/>
    </row>
    <row r="85" spans="1:13" ht="13.5">
      <c r="A85" s="36">
        <v>18</v>
      </c>
      <c r="B85" s="36">
        <v>5</v>
      </c>
      <c r="C85" s="36">
        <v>22</v>
      </c>
      <c r="D85" s="36">
        <v>5</v>
      </c>
      <c r="E85" s="36" t="s">
        <v>140</v>
      </c>
      <c r="F85" s="38"/>
      <c r="G85" s="38">
        <v>1000</v>
      </c>
      <c r="H85" s="39">
        <f>IF(F85="",IF(G85="","",SUM($F$2:F85)-SUM($G$2:G85)),SUM($F$2:F85)-SUM($G$2:G85))</f>
        <v>-207046</v>
      </c>
      <c r="I85" s="36">
        <v>82</v>
      </c>
      <c r="J85" s="40" t="str">
        <f>IF(K85=0,0,VLOOKUP(K85,Sheet1!$A$1:$B$30,2))</f>
        <v>研究研修費</v>
      </c>
      <c r="K85" s="36">
        <v>1</v>
      </c>
      <c r="L85" s="66">
        <f>IF(M85=0,0,VLOOKUP(M85,Sheet1!$D$1:$E$30,2))</f>
        <v>0</v>
      </c>
      <c r="M85" s="36"/>
    </row>
    <row r="86" spans="1:13" ht="13.5">
      <c r="A86" s="36">
        <v>18</v>
      </c>
      <c r="B86" s="36">
        <v>5</v>
      </c>
      <c r="C86" s="36">
        <v>10</v>
      </c>
      <c r="D86" s="36">
        <v>5</v>
      </c>
      <c r="E86" s="36" t="s">
        <v>141</v>
      </c>
      <c r="F86" s="38"/>
      <c r="G86" s="38">
        <v>1000</v>
      </c>
      <c r="H86" s="39">
        <f>IF(F86="",IF(G86="","",SUM($F$2:F86)-SUM($G$2:G86)),SUM($F$2:F86)-SUM($G$2:G86))</f>
        <v>-208046</v>
      </c>
      <c r="I86" s="36">
        <v>83</v>
      </c>
      <c r="J86" s="40" t="str">
        <f>IF(K86=0,0,VLOOKUP(K86,Sheet1!$A$1:$B$30,2))</f>
        <v>研究研修費</v>
      </c>
      <c r="K86" s="36">
        <v>1</v>
      </c>
      <c r="L86" s="66">
        <f>IF(M86=0,0,VLOOKUP(M86,Sheet1!$D$1:$E$30,2))</f>
        <v>0</v>
      </c>
      <c r="M86" s="36"/>
    </row>
    <row r="87" spans="1:13" ht="13.5">
      <c r="A87" s="36">
        <v>18</v>
      </c>
      <c r="B87" s="36">
        <v>12</v>
      </c>
      <c r="C87" s="36">
        <v>8</v>
      </c>
      <c r="D87" s="36">
        <v>12</v>
      </c>
      <c r="E87" s="36" t="s">
        <v>142</v>
      </c>
      <c r="F87" s="38"/>
      <c r="G87" s="38">
        <v>2500</v>
      </c>
      <c r="H87" s="39">
        <f>IF(F87="",IF(G87="","",SUM($F$2:F87)-SUM($G$2:G87)),SUM($F$2:F87)-SUM($G$2:G87))</f>
        <v>-210546</v>
      </c>
      <c r="I87" s="36">
        <v>84</v>
      </c>
      <c r="J87" s="40" t="str">
        <f>IF(K87=0,0,VLOOKUP(K87,Sheet1!$A$1:$B$30,2))</f>
        <v>資料購入費</v>
      </c>
      <c r="K87" s="36">
        <v>4</v>
      </c>
      <c r="L87" s="66">
        <f>IF(M87=0,0,VLOOKUP(M87,Sheet1!$D$1:$E$30,2))</f>
        <v>0</v>
      </c>
      <c r="M87" s="36"/>
    </row>
    <row r="88" spans="1:13" ht="13.5">
      <c r="A88" s="36">
        <v>19</v>
      </c>
      <c r="B88" s="36">
        <v>3</v>
      </c>
      <c r="C88" s="36">
        <v>31</v>
      </c>
      <c r="D88" s="36">
        <v>3</v>
      </c>
      <c r="E88" s="36" t="s">
        <v>143</v>
      </c>
      <c r="F88" s="38"/>
      <c r="G88" s="38">
        <v>33800</v>
      </c>
      <c r="H88" s="39">
        <f>IF(F88="",IF(G88="","",SUM($F$2:F88)-SUM($G$2:G88)),SUM($F$2:F88)-SUM($G$2:G88))</f>
        <v>-244346</v>
      </c>
      <c r="I88" s="36">
        <v>85</v>
      </c>
      <c r="J88" s="40" t="str">
        <f>IF(K88=0,0,VLOOKUP(K88,Sheet1!$A$1:$B$30,2))</f>
        <v>その他の経費</v>
      </c>
      <c r="K88" s="36">
        <v>10</v>
      </c>
      <c r="L88" s="66" t="str">
        <f>IF(M88=0,0,VLOOKUP(M88,Sheet1!$D$1:$E$30,2))</f>
        <v>駐車場代</v>
      </c>
      <c r="M88" s="36">
        <v>3</v>
      </c>
    </row>
    <row r="89" spans="1:13" ht="13.5">
      <c r="A89" s="36">
        <v>19</v>
      </c>
      <c r="B89" s="36">
        <v>3</v>
      </c>
      <c r="C89" s="36">
        <v>30</v>
      </c>
      <c r="D89" s="36">
        <v>3</v>
      </c>
      <c r="E89" s="36" t="s">
        <v>135</v>
      </c>
      <c r="F89" s="38"/>
      <c r="G89" s="38">
        <v>254801</v>
      </c>
      <c r="H89" s="39">
        <f>IF(F89="",IF(G89="","",SUM($F$2:F89)-SUM($G$2:G89)),SUM($F$2:F89)-SUM($G$2:G89))</f>
        <v>-499147</v>
      </c>
      <c r="I89" s="36">
        <v>86</v>
      </c>
      <c r="J89" s="40" t="str">
        <f>IF(K89=0,0,VLOOKUP(K89,Sheet1!$A$1:$B$30,2))</f>
        <v>広報費</v>
      </c>
      <c r="K89" s="36">
        <v>5</v>
      </c>
      <c r="L89" s="66">
        <f>IF(M89=0,0,VLOOKUP(M89,Sheet1!$D$1:$E$30,2))</f>
        <v>0</v>
      </c>
      <c r="M89" s="36"/>
    </row>
    <row r="90" spans="1:13" ht="13.5">
      <c r="A90" s="36"/>
      <c r="B90" s="36"/>
      <c r="C90" s="36"/>
      <c r="D90" s="36"/>
      <c r="E90" s="36"/>
      <c r="F90" s="38"/>
      <c r="G90" s="38"/>
      <c r="H90" s="39">
        <f>IF(F90="",IF(G90="","",SUM($F$2:F90)-SUM($G$2:G90)),SUM($F$2:F90)-SUM($G$2:G90))</f>
      </c>
      <c r="I90" s="36"/>
      <c r="J90" s="40">
        <f>IF(K90=0,0,VLOOKUP(K90,Sheet1!$A$1:$B$30,2))</f>
        <v>0</v>
      </c>
      <c r="K90" s="36"/>
      <c r="L90" s="66">
        <f>IF(M90=0,0,VLOOKUP(M90,Sheet1!$D$1:$E$30,2))</f>
        <v>0</v>
      </c>
      <c r="M90" s="36"/>
    </row>
    <row r="91" spans="1:13" ht="13.5">
      <c r="A91" s="36"/>
      <c r="B91" s="36"/>
      <c r="C91" s="36"/>
      <c r="D91" s="36"/>
      <c r="E91" s="36"/>
      <c r="F91" s="38"/>
      <c r="G91" s="38"/>
      <c r="H91" s="39">
        <f>IF(F91="",IF(G91="","",SUM($F$2:F91)-SUM($G$2:G91)),SUM($F$2:F91)-SUM($G$2:G91))</f>
      </c>
      <c r="I91" s="36"/>
      <c r="J91" s="40">
        <f>IF(K91=0,0,VLOOKUP(K91,Sheet1!$A$1:$B$30,2))</f>
        <v>0</v>
      </c>
      <c r="K91" s="36"/>
      <c r="L91" s="66">
        <f>IF(M91=0,0,VLOOKUP(M91,Sheet1!$D$1:$E$30,2))</f>
        <v>0</v>
      </c>
      <c r="M91" s="36"/>
    </row>
    <row r="92" spans="1:13" ht="13.5">
      <c r="A92" s="36"/>
      <c r="B92" s="36"/>
      <c r="C92" s="36"/>
      <c r="D92" s="36"/>
      <c r="E92" s="36"/>
      <c r="F92" s="38"/>
      <c r="G92" s="38"/>
      <c r="H92" s="39">
        <f>IF(F92="",IF(G92="","",SUM($F$2:F92)-SUM($G$2:G92)),SUM($F$2:F92)-SUM($G$2:G92))</f>
      </c>
      <c r="I92" s="36"/>
      <c r="J92" s="40">
        <f>IF(K92=0,0,VLOOKUP(K92,Sheet1!$A$1:$B$30,2))</f>
        <v>0</v>
      </c>
      <c r="K92" s="36"/>
      <c r="L92" s="66">
        <f>IF(M92=0,0,VLOOKUP(M92,Sheet1!$D$1:$E$30,2))</f>
        <v>0</v>
      </c>
      <c r="M92" s="36"/>
    </row>
    <row r="93" spans="1:13" ht="13.5">
      <c r="A93" s="36"/>
      <c r="B93" s="36"/>
      <c r="C93" s="36"/>
      <c r="D93" s="36"/>
      <c r="E93" s="36"/>
      <c r="F93" s="38"/>
      <c r="G93" s="38"/>
      <c r="H93" s="39">
        <f>IF(F93="",IF(G93="","",SUM($F$2:F93)-SUM($G$2:G93)),SUM($F$2:F93)-SUM($G$2:G93))</f>
      </c>
      <c r="I93" s="36"/>
      <c r="J93" s="40">
        <f>IF(K93=0,0,VLOOKUP(K93,Sheet1!$A$1:$B$30,2))</f>
        <v>0</v>
      </c>
      <c r="K93" s="36"/>
      <c r="L93" s="66">
        <f>IF(M93=0,0,VLOOKUP(M93,Sheet1!$D$1:$E$30,2))</f>
        <v>0</v>
      </c>
      <c r="M93" s="36"/>
    </row>
    <row r="94" spans="1:13" ht="13.5">
      <c r="A94" s="36"/>
      <c r="B94" s="36"/>
      <c r="C94" s="36"/>
      <c r="D94" s="36"/>
      <c r="E94" s="36"/>
      <c r="F94" s="38"/>
      <c r="G94" s="38"/>
      <c r="H94" s="39">
        <f>IF(F94="",IF(G94="","",SUM($F$2:F94)-SUM($G$2:G94)),SUM($F$2:F94)-SUM($G$2:G94))</f>
      </c>
      <c r="I94" s="36"/>
      <c r="J94" s="40">
        <f>IF(K94=0,0,VLOOKUP(K94,Sheet1!$A$1:$B$30,2))</f>
        <v>0</v>
      </c>
      <c r="K94" s="36"/>
      <c r="L94" s="66">
        <f>IF(M94=0,0,VLOOKUP(M94,Sheet1!$D$1:$E$30,2))</f>
        <v>0</v>
      </c>
      <c r="M94" s="36"/>
    </row>
    <row r="95" spans="1:13" ht="13.5">
      <c r="A95" s="36"/>
      <c r="B95" s="36"/>
      <c r="C95" s="36"/>
      <c r="D95" s="36"/>
      <c r="E95" s="36"/>
      <c r="F95" s="38"/>
      <c r="G95" s="38"/>
      <c r="H95" s="39">
        <f>IF(F95="",IF(G95="","",SUM($F$2:F95)-SUM($G$2:G95)),SUM($F$2:F95)-SUM($G$2:G95))</f>
      </c>
      <c r="I95" s="36"/>
      <c r="J95" s="40">
        <f>IF(K95=0,0,VLOOKUP(K95,Sheet1!$A$1:$B$30,2))</f>
        <v>0</v>
      </c>
      <c r="K95" s="36"/>
      <c r="L95" s="66">
        <f>IF(M95=0,0,VLOOKUP(M95,Sheet1!$D$1:$E$30,2))</f>
        <v>0</v>
      </c>
      <c r="M95" s="36"/>
    </row>
    <row r="96" spans="1:13" ht="13.5">
      <c r="A96" s="36"/>
      <c r="B96" s="36"/>
      <c r="C96" s="36"/>
      <c r="D96" s="36"/>
      <c r="E96" s="36"/>
      <c r="F96" s="38"/>
      <c r="G96" s="38"/>
      <c r="H96" s="39">
        <f>IF(F96="",IF(G96="","",SUM($F$2:F96)-SUM($G$2:G96)),SUM($F$2:F96)-SUM($G$2:G96))</f>
      </c>
      <c r="I96" s="36"/>
      <c r="J96" s="40">
        <f>IF(K96=0,0,VLOOKUP(K96,Sheet1!$A$1:$B$30,2))</f>
        <v>0</v>
      </c>
      <c r="K96" s="36"/>
      <c r="L96" s="66">
        <f>IF(M96=0,0,VLOOKUP(M96,Sheet1!$D$1:$E$30,2))</f>
        <v>0</v>
      </c>
      <c r="M96" s="36"/>
    </row>
    <row r="97" spans="1:13" ht="13.5">
      <c r="A97" s="36"/>
      <c r="B97" s="36"/>
      <c r="C97" s="36"/>
      <c r="D97" s="36"/>
      <c r="E97" s="36"/>
      <c r="F97" s="38"/>
      <c r="G97" s="38"/>
      <c r="H97" s="39">
        <f>IF(F97="",IF(G97="","",SUM($F$2:F97)-SUM($G$2:G97)),SUM($F$2:F97)-SUM($G$2:G97))</f>
      </c>
      <c r="I97" s="36"/>
      <c r="J97" s="40">
        <f>IF(K97=0,0,VLOOKUP(K97,Sheet1!$A$1:$B$30,2))</f>
        <v>0</v>
      </c>
      <c r="K97" s="36"/>
      <c r="L97" s="66">
        <f>IF(M97=0,0,VLOOKUP(M97,Sheet1!$D$1:$E$30,2))</f>
        <v>0</v>
      </c>
      <c r="M97" s="36"/>
    </row>
    <row r="98" spans="1:13" ht="13.5">
      <c r="A98" s="36"/>
      <c r="B98" s="36"/>
      <c r="C98" s="36"/>
      <c r="D98" s="36"/>
      <c r="E98" s="36"/>
      <c r="F98" s="38"/>
      <c r="G98" s="38"/>
      <c r="H98" s="39">
        <f>IF(F98="",IF(G98="","",SUM($F$2:F98)-SUM($G$2:G98)),SUM($F$2:F98)-SUM($G$2:G98))</f>
      </c>
      <c r="I98" s="36"/>
      <c r="J98" s="40">
        <f>IF(K98=0,0,VLOOKUP(K98,Sheet1!$A$1:$B$30,2))</f>
        <v>0</v>
      </c>
      <c r="K98" s="36"/>
      <c r="L98" s="66">
        <f>IF(M98=0,0,VLOOKUP(M98,Sheet1!$D$1:$E$30,2))</f>
        <v>0</v>
      </c>
      <c r="M98" s="36"/>
    </row>
    <row r="99" spans="1:13" ht="13.5">
      <c r="A99" s="36"/>
      <c r="B99" s="36"/>
      <c r="C99" s="36"/>
      <c r="D99" s="36"/>
      <c r="E99" s="36"/>
      <c r="F99" s="38"/>
      <c r="G99" s="38"/>
      <c r="H99" s="39">
        <f>IF(F99="",IF(G99="","",SUM($F$2:F99)-SUM($G$2:G99)),SUM($F$2:F99)-SUM($G$2:G99))</f>
      </c>
      <c r="I99" s="36"/>
      <c r="J99" s="40">
        <f>IF(K99=0,0,VLOOKUP(K99,Sheet1!$A$1:$B$30,2))</f>
        <v>0</v>
      </c>
      <c r="K99" s="36"/>
      <c r="L99" s="66">
        <f>IF(M99=0,0,VLOOKUP(M99,Sheet1!$D$1:$E$30,2))</f>
        <v>0</v>
      </c>
      <c r="M99" s="36"/>
    </row>
    <row r="100" spans="1:13" ht="13.5">
      <c r="A100" s="36"/>
      <c r="B100" s="36"/>
      <c r="C100" s="36"/>
      <c r="D100" s="36"/>
      <c r="E100" s="102"/>
      <c r="F100" s="38"/>
      <c r="G100" s="38"/>
      <c r="H100" s="39">
        <f>IF(F100="",IF(G100="","",SUM($F$2:F100)-SUM($G$2:G100)),SUM($F$2:F100)-SUM($G$2:G100))</f>
      </c>
      <c r="I100" s="36"/>
      <c r="J100" s="40">
        <f>IF(K100=0,0,VLOOKUP(K100,Sheet1!$A$1:$B$30,2))</f>
        <v>0</v>
      </c>
      <c r="K100" s="36"/>
      <c r="L100" s="66">
        <f>IF(M100=0,0,VLOOKUP(M100,Sheet1!$D$1:$E$30,2))</f>
        <v>0</v>
      </c>
      <c r="M100" s="36"/>
    </row>
    <row r="101" spans="1:13" ht="13.5">
      <c r="A101" s="36"/>
      <c r="B101" s="36"/>
      <c r="C101" s="36"/>
      <c r="D101" s="36"/>
      <c r="E101" s="36"/>
      <c r="F101" s="38"/>
      <c r="G101" s="38"/>
      <c r="H101" s="39">
        <f>IF(F101="",IF(G101="","",SUM($F$2:F101)-SUM($G$2:G101)),SUM($F$2:F101)-SUM($G$2:G101))</f>
      </c>
      <c r="I101" s="36"/>
      <c r="J101" s="40">
        <f>IF(K101=0,0,VLOOKUP(K101,Sheet1!$A$1:$B$30,2))</f>
        <v>0</v>
      </c>
      <c r="K101" s="36"/>
      <c r="L101" s="66">
        <f>IF(M101=0,0,VLOOKUP(M101,Sheet1!$D$1:$E$30,2))</f>
        <v>0</v>
      </c>
      <c r="M101" s="36"/>
    </row>
    <row r="102" spans="1:13" ht="13.5">
      <c r="A102" s="36"/>
      <c r="B102" s="36"/>
      <c r="C102" s="36"/>
      <c r="D102" s="36"/>
      <c r="E102" s="36"/>
      <c r="F102" s="38"/>
      <c r="G102" s="38"/>
      <c r="H102" s="39">
        <f>IF(F102="",IF(G102="","",SUM($F$2:F102)-SUM($G$2:G102)),SUM($F$2:F102)-SUM($G$2:G102))</f>
      </c>
      <c r="I102" s="36"/>
      <c r="J102" s="40">
        <f>IF(K102=0,0,VLOOKUP(K102,Sheet1!$A$1:$B$30,2))</f>
        <v>0</v>
      </c>
      <c r="K102" s="36"/>
      <c r="L102" s="66">
        <f>IF(M102=0,0,VLOOKUP(M102,Sheet1!$D$1:$E$30,2))</f>
        <v>0</v>
      </c>
      <c r="M102" s="36"/>
    </row>
    <row r="103" spans="1:13" ht="13.5">
      <c r="A103" s="36"/>
      <c r="B103" s="36"/>
      <c r="C103" s="36"/>
      <c r="D103" s="36"/>
      <c r="E103" s="36"/>
      <c r="F103" s="38"/>
      <c r="G103" s="38"/>
      <c r="H103" s="39">
        <f>IF(F103="",IF(G103="","",SUM($F$2:F103)-SUM($G$2:G103)),SUM($F$2:F103)-SUM($G$2:G103))</f>
      </c>
      <c r="I103" s="36"/>
      <c r="J103" s="40">
        <f>IF(K103=0,0,VLOOKUP(K103,Sheet1!$A$1:$B$30,2))</f>
        <v>0</v>
      </c>
      <c r="K103" s="36"/>
      <c r="L103" s="66">
        <f>IF(M103=0,0,VLOOKUP(M103,Sheet1!$D$1:$E$30,2))</f>
        <v>0</v>
      </c>
      <c r="M103" s="36"/>
    </row>
    <row r="104" spans="1:13" ht="13.5">
      <c r="A104" s="36"/>
      <c r="B104" s="36"/>
      <c r="C104" s="36"/>
      <c r="D104" s="36"/>
      <c r="E104" s="36"/>
      <c r="F104" s="38"/>
      <c r="G104" s="38"/>
      <c r="H104" s="39">
        <f>IF(F104="",IF(G104="","",SUM($F$2:F104)-SUM($G$2:G104)),SUM($F$2:F104)-SUM($G$2:G104))</f>
      </c>
      <c r="I104" s="36"/>
      <c r="J104" s="40">
        <f>IF(K104=0,0,VLOOKUP(K104,Sheet1!$A$1:$B$30,2))</f>
        <v>0</v>
      </c>
      <c r="K104" s="36"/>
      <c r="L104" s="66">
        <f>IF(M104=0,0,VLOOKUP(M104,Sheet1!$D$1:$E$30,2))</f>
        <v>0</v>
      </c>
      <c r="M104" s="36"/>
    </row>
    <row r="105" spans="1:13" ht="13.5">
      <c r="A105" s="36"/>
      <c r="B105" s="36"/>
      <c r="C105" s="36"/>
      <c r="D105" s="36"/>
      <c r="E105" s="36"/>
      <c r="F105" s="38"/>
      <c r="G105" s="38"/>
      <c r="H105" s="39">
        <f>IF(F105="",IF(G105="","",SUM($F$2:F105)-SUM($G$2:G105)),SUM($F$2:F105)-SUM($G$2:G105))</f>
      </c>
      <c r="I105" s="36"/>
      <c r="J105" s="40">
        <f>IF(K105=0,0,VLOOKUP(K105,Sheet1!$A$1:$B$30,2))</f>
        <v>0</v>
      </c>
      <c r="K105" s="36"/>
      <c r="L105" s="66">
        <f>IF(M105=0,0,VLOOKUP(M105,Sheet1!$D$1:$E$30,2))</f>
        <v>0</v>
      </c>
      <c r="M105" s="36"/>
    </row>
    <row r="106" spans="1:13" ht="13.5">
      <c r="A106" s="36"/>
      <c r="B106" s="36"/>
      <c r="C106" s="36"/>
      <c r="D106" s="36"/>
      <c r="E106" s="36"/>
      <c r="F106" s="38"/>
      <c r="G106" s="38"/>
      <c r="H106" s="39">
        <f>IF(F106="",IF(G106="","",SUM($F$2:F106)-SUM($G$2:G106)),SUM($F$2:F106)-SUM($G$2:G106))</f>
      </c>
      <c r="I106" s="36"/>
      <c r="J106" s="40">
        <f>IF(K106=0,0,VLOOKUP(K106,Sheet1!$A$1:$B$30,2))</f>
        <v>0</v>
      </c>
      <c r="K106" s="36"/>
      <c r="L106" s="66">
        <f>IF(M106=0,0,VLOOKUP(M106,Sheet1!$D$1:$E$30,2))</f>
        <v>0</v>
      </c>
      <c r="M106" s="36"/>
    </row>
    <row r="107" spans="1:13" ht="13.5">
      <c r="A107" s="36"/>
      <c r="B107" s="36"/>
      <c r="C107" s="36"/>
      <c r="D107" s="36"/>
      <c r="E107" s="36"/>
      <c r="F107" s="38"/>
      <c r="G107" s="38"/>
      <c r="H107" s="39">
        <f>IF(F107="",IF(G107="","",SUM($F$2:F107)-SUM($G$2:G107)),SUM($F$2:F107)-SUM($G$2:G107))</f>
      </c>
      <c r="I107" s="36"/>
      <c r="J107" s="40">
        <f>IF(K107=0,0,VLOOKUP(K107,Sheet1!$A$1:$B$30,2))</f>
        <v>0</v>
      </c>
      <c r="K107" s="36"/>
      <c r="L107" s="66">
        <f>IF(M107=0,0,VLOOKUP(M107,Sheet1!$D$1:$E$30,2))</f>
        <v>0</v>
      </c>
      <c r="M107" s="36"/>
    </row>
    <row r="108" spans="1:13" ht="13.5">
      <c r="A108" s="36"/>
      <c r="B108" s="36"/>
      <c r="C108" s="36"/>
      <c r="D108" s="36"/>
      <c r="E108" s="36"/>
      <c r="F108" s="38"/>
      <c r="G108" s="38"/>
      <c r="H108" s="39">
        <f>IF(F108="",IF(G108="","",SUM($F$2:F108)-SUM($G$2:G108)),SUM($F$2:F108)-SUM($G$2:G108))</f>
      </c>
      <c r="I108" s="36"/>
      <c r="J108" s="40">
        <f>IF(K108=0,0,VLOOKUP(K108,Sheet1!$A$1:$B$30,2))</f>
        <v>0</v>
      </c>
      <c r="K108" s="36"/>
      <c r="L108" s="66">
        <f>IF(M108=0,0,VLOOKUP(M108,Sheet1!$D$1:$E$30,2))</f>
        <v>0</v>
      </c>
      <c r="M108" s="36"/>
    </row>
    <row r="109" spans="1:13" ht="13.5">
      <c r="A109" s="36"/>
      <c r="B109" s="36"/>
      <c r="C109" s="36"/>
      <c r="D109" s="36"/>
      <c r="E109" s="36"/>
      <c r="F109" s="38"/>
      <c r="G109" s="38"/>
      <c r="H109" s="39">
        <f>IF(F109="",IF(G109="","",SUM($F$2:F109)-SUM($G$2:G109)),SUM($F$2:F109)-SUM($G$2:G109))</f>
      </c>
      <c r="I109" s="36"/>
      <c r="J109" s="40">
        <f>IF(K109=0,0,VLOOKUP(K109,Sheet1!$A$1:$B$30,2))</f>
        <v>0</v>
      </c>
      <c r="K109" s="36"/>
      <c r="L109" s="66">
        <f>IF(M109=0,0,VLOOKUP(M109,Sheet1!$D$1:$E$30,2))</f>
        <v>0</v>
      </c>
      <c r="M109" s="36"/>
    </row>
    <row r="110" spans="1:13" ht="13.5">
      <c r="A110" s="36"/>
      <c r="B110" s="36"/>
      <c r="C110" s="36"/>
      <c r="D110" s="36"/>
      <c r="E110" s="36"/>
      <c r="F110" s="38"/>
      <c r="G110" s="38"/>
      <c r="H110" s="39">
        <f>IF(F110="",IF(G110="","",SUM($F$2:F110)-SUM($G$2:G110)),SUM($F$2:F110)-SUM($G$2:G110))</f>
      </c>
      <c r="I110" s="36"/>
      <c r="J110" s="40">
        <f>IF(K110=0,0,VLOOKUP(K110,Sheet1!$A$1:$B$30,2))</f>
        <v>0</v>
      </c>
      <c r="K110" s="36"/>
      <c r="L110" s="66">
        <f>IF(M110=0,0,VLOOKUP(M110,Sheet1!$D$1:$E$30,2))</f>
        <v>0</v>
      </c>
      <c r="M110" s="36"/>
    </row>
    <row r="111" spans="1:13" ht="13.5">
      <c r="A111" s="36"/>
      <c r="B111" s="36"/>
      <c r="C111" s="36"/>
      <c r="D111" s="36"/>
      <c r="E111" s="102"/>
      <c r="F111" s="38"/>
      <c r="G111" s="38"/>
      <c r="H111" s="39">
        <f>IF(F111="",IF(G111="","",SUM($F$2:F111)-SUM($G$2:G111)),SUM($F$2:F111)-SUM($G$2:G111))</f>
      </c>
      <c r="I111" s="36"/>
      <c r="J111" s="40">
        <f>IF(K111=0,0,VLOOKUP(K111,Sheet1!$A$1:$B$30,2))</f>
        <v>0</v>
      </c>
      <c r="K111" s="36"/>
      <c r="L111" s="66">
        <f>IF(M111=0,0,VLOOKUP(M111,Sheet1!$D$1:$E$30,2))</f>
        <v>0</v>
      </c>
      <c r="M111" s="36"/>
    </row>
    <row r="112" spans="1:13" ht="13.5">
      <c r="A112" s="36"/>
      <c r="B112" s="36"/>
      <c r="C112" s="36"/>
      <c r="D112" s="36"/>
      <c r="E112" s="36"/>
      <c r="F112" s="38"/>
      <c r="G112" s="38"/>
      <c r="H112" s="39">
        <f>IF(F112="",IF(G112="","",SUM($F$2:F112)-SUM($G$2:G112)),SUM($F$2:F112)-SUM($G$2:G112))</f>
      </c>
      <c r="I112" s="36"/>
      <c r="J112" s="40">
        <f>IF(K112=0,0,VLOOKUP(K112,Sheet1!$A$1:$B$30,2))</f>
        <v>0</v>
      </c>
      <c r="K112" s="36"/>
      <c r="L112" s="66">
        <f>IF(M112=0,0,VLOOKUP(M112,Sheet1!$D$1:$E$30,2))</f>
        <v>0</v>
      </c>
      <c r="M112" s="36"/>
    </row>
    <row r="113" spans="1:13" ht="13.5">
      <c r="A113" s="36"/>
      <c r="B113" s="36"/>
      <c r="C113" s="36"/>
      <c r="D113" s="36"/>
      <c r="E113" s="36"/>
      <c r="F113" s="38"/>
      <c r="G113" s="38"/>
      <c r="H113" s="39">
        <f>IF(F113="",IF(G113="","",SUM($F$2:F113)-SUM($G$2:G113)),SUM($F$2:F113)-SUM($G$2:G113))</f>
      </c>
      <c r="I113" s="36"/>
      <c r="J113" s="40">
        <f>IF(K113=0,0,VLOOKUP(K113,Sheet1!$A$1:$B$30,2))</f>
        <v>0</v>
      </c>
      <c r="K113" s="36"/>
      <c r="L113" s="66">
        <f>IF(M113=0,0,VLOOKUP(M113,Sheet1!$D$1:$E$30,2))</f>
        <v>0</v>
      </c>
      <c r="M113" s="36"/>
    </row>
    <row r="114" spans="1:13" ht="13.5">
      <c r="A114" s="36"/>
      <c r="B114" s="36"/>
      <c r="C114" s="36"/>
      <c r="D114" s="36"/>
      <c r="E114" s="36"/>
      <c r="F114" s="38"/>
      <c r="G114" s="38"/>
      <c r="H114" s="39">
        <f>IF(F114="",IF(G114="","",SUM($F$2:F114)-SUM($G$2:G114)),SUM($F$2:F114)-SUM($G$2:G114))</f>
      </c>
      <c r="I114" s="36"/>
      <c r="J114" s="40">
        <f>IF(K114=0,0,VLOOKUP(K114,Sheet1!$A$1:$B$30,2))</f>
        <v>0</v>
      </c>
      <c r="K114" s="36"/>
      <c r="L114" s="66">
        <f>IF(M114=0,0,VLOOKUP(M114,Sheet1!$D$1:$E$30,2))</f>
        <v>0</v>
      </c>
      <c r="M114" s="36"/>
    </row>
    <row r="115" spans="1:13" ht="13.5">
      <c r="A115" s="36"/>
      <c r="B115" s="36"/>
      <c r="C115" s="36"/>
      <c r="D115" s="36"/>
      <c r="E115" s="36"/>
      <c r="F115" s="38"/>
      <c r="G115" s="38"/>
      <c r="H115" s="39">
        <f>IF(F115="",IF(G115="","",SUM($F$2:F115)-SUM($G$2:G115)),SUM($F$2:F115)-SUM($G$2:G115))</f>
      </c>
      <c r="I115" s="36"/>
      <c r="J115" s="40">
        <f>IF(K115=0,0,VLOOKUP(K115,Sheet1!$A$1:$B$30,2))</f>
        <v>0</v>
      </c>
      <c r="K115" s="36"/>
      <c r="L115" s="66">
        <f>IF(M115=0,0,VLOOKUP(M115,Sheet1!$D$1:$E$30,2))</f>
        <v>0</v>
      </c>
      <c r="M115" s="36"/>
    </row>
    <row r="116" spans="1:13" ht="13.5">
      <c r="A116" s="36"/>
      <c r="B116" s="36"/>
      <c r="C116" s="36"/>
      <c r="D116" s="36"/>
      <c r="E116" s="36"/>
      <c r="F116" s="38"/>
      <c r="G116" s="38"/>
      <c r="H116" s="39">
        <f>IF(F116="",IF(G116="","",SUM($F$2:F116)-SUM($G$2:G116)),SUM($F$2:F116)-SUM($G$2:G116))</f>
      </c>
      <c r="I116" s="36"/>
      <c r="J116" s="40">
        <f>IF(K116=0,0,VLOOKUP(K116,Sheet1!$A$1:$B$30,2))</f>
        <v>0</v>
      </c>
      <c r="K116" s="36"/>
      <c r="L116" s="66">
        <f>IF(M116=0,0,VLOOKUP(M116,Sheet1!$D$1:$E$30,2))</f>
        <v>0</v>
      </c>
      <c r="M116" s="36"/>
    </row>
    <row r="117" spans="1:13" ht="13.5">
      <c r="A117" s="36"/>
      <c r="B117" s="36"/>
      <c r="C117" s="36"/>
      <c r="D117" s="36"/>
      <c r="E117" s="36"/>
      <c r="F117" s="38"/>
      <c r="G117" s="38"/>
      <c r="H117" s="39">
        <f>IF(F117="",IF(G117="","",SUM($F$2:F117)-SUM($G$2:G117)),SUM($F$2:F117)-SUM($G$2:G117))</f>
      </c>
      <c r="I117" s="36"/>
      <c r="J117" s="40">
        <f>IF(K117=0,0,VLOOKUP(K117,Sheet1!$A$1:$B$30,2))</f>
        <v>0</v>
      </c>
      <c r="K117" s="36"/>
      <c r="L117" s="66">
        <f>IF(M117=0,0,VLOOKUP(M117,Sheet1!$D$1:$E$30,2))</f>
        <v>0</v>
      </c>
      <c r="M117" s="36"/>
    </row>
    <row r="118" spans="1:13" ht="13.5">
      <c r="A118" s="36"/>
      <c r="B118" s="36"/>
      <c r="C118" s="36"/>
      <c r="D118" s="36"/>
      <c r="E118" s="36"/>
      <c r="F118" s="38"/>
      <c r="G118" s="38"/>
      <c r="H118" s="39">
        <f>IF(F118="",IF(G118="","",SUM($F$2:F118)-SUM($G$2:G118)),SUM($F$2:F118)-SUM($G$2:G118))</f>
      </c>
      <c r="I118" s="36"/>
      <c r="J118" s="40">
        <f>IF(K118=0,0,VLOOKUP(K118,Sheet1!$A$1:$B$30,2))</f>
        <v>0</v>
      </c>
      <c r="K118" s="36"/>
      <c r="L118" s="66">
        <f>IF(M118=0,0,VLOOKUP(M118,Sheet1!$D$1:$E$30,2))</f>
        <v>0</v>
      </c>
      <c r="M118" s="36"/>
    </row>
    <row r="119" spans="1:13" ht="13.5">
      <c r="A119" s="36"/>
      <c r="B119" s="36"/>
      <c r="C119" s="36"/>
      <c r="D119" s="36"/>
      <c r="E119" s="36"/>
      <c r="F119" s="38"/>
      <c r="G119" s="38"/>
      <c r="H119" s="39">
        <f>IF(F119="",IF(G119="","",SUM($F$2:F119)-SUM($G$2:G119)),SUM($F$2:F119)-SUM($G$2:G119))</f>
      </c>
      <c r="I119" s="36"/>
      <c r="J119" s="40">
        <f>IF(K119=0,0,VLOOKUP(K119,Sheet1!$A$1:$B$30,2))</f>
        <v>0</v>
      </c>
      <c r="K119" s="36"/>
      <c r="L119" s="66">
        <f>IF(M119=0,0,VLOOKUP(M119,Sheet1!$D$1:$E$30,2))</f>
        <v>0</v>
      </c>
      <c r="M119" s="36"/>
    </row>
    <row r="120" spans="1:13" ht="13.5">
      <c r="A120" s="36"/>
      <c r="B120" s="36"/>
      <c r="C120" s="36"/>
      <c r="D120" s="36"/>
      <c r="E120" s="36"/>
      <c r="F120" s="38"/>
      <c r="G120" s="38"/>
      <c r="H120" s="39">
        <f>IF(F120="",IF(G120="","",SUM($F$2:F120)-SUM($G$2:G120)),SUM($F$2:F120)-SUM($G$2:G120))</f>
      </c>
      <c r="I120" s="36"/>
      <c r="J120" s="40">
        <f>IF(K120=0,0,VLOOKUP(K120,Sheet1!$A$1:$B$30,2))</f>
        <v>0</v>
      </c>
      <c r="K120" s="36"/>
      <c r="L120" s="66">
        <f>IF(M120=0,0,VLOOKUP(M120,Sheet1!$D$1:$E$30,2))</f>
        <v>0</v>
      </c>
      <c r="M120" s="36"/>
    </row>
    <row r="121" spans="1:13" ht="13.5">
      <c r="A121" s="36"/>
      <c r="B121" s="36"/>
      <c r="C121" s="36"/>
      <c r="D121" s="36"/>
      <c r="E121" s="36"/>
      <c r="F121" s="38"/>
      <c r="G121" s="38"/>
      <c r="H121" s="39">
        <f>IF(F121="",IF(G121="","",SUM($F$2:F121)-SUM($G$2:G121)),SUM($F$2:F121)-SUM($G$2:G121))</f>
      </c>
      <c r="I121" s="36"/>
      <c r="J121" s="40">
        <f>IF(K121=0,0,VLOOKUP(K121,Sheet1!$A$1:$B$30,2))</f>
        <v>0</v>
      </c>
      <c r="K121" s="36"/>
      <c r="L121" s="66">
        <f>IF(M121=0,0,VLOOKUP(M121,Sheet1!$D$1:$E$30,2))</f>
        <v>0</v>
      </c>
      <c r="M121" s="36"/>
    </row>
    <row r="122" spans="1:13" ht="13.5">
      <c r="A122" s="36"/>
      <c r="B122" s="36"/>
      <c r="C122" s="36"/>
      <c r="D122" s="36"/>
      <c r="E122" s="36"/>
      <c r="F122" s="38"/>
      <c r="G122" s="38"/>
      <c r="H122" s="39">
        <f>IF(F122="",IF(G122="","",SUM($F$2:F122)-SUM($G$2:G122)),SUM($F$2:F122)-SUM($G$2:G122))</f>
      </c>
      <c r="I122" s="36"/>
      <c r="J122" s="40">
        <f>IF(K122=0,0,VLOOKUP(K122,Sheet1!$A$1:$B$30,2))</f>
        <v>0</v>
      </c>
      <c r="K122" s="36"/>
      <c r="L122" s="66">
        <f>IF(M122=0,0,VLOOKUP(M122,Sheet1!$D$1:$E$30,2))</f>
        <v>0</v>
      </c>
      <c r="M122" s="36"/>
    </row>
    <row r="123" spans="1:13" ht="13.5">
      <c r="A123" s="36"/>
      <c r="B123" s="36"/>
      <c r="C123" s="36"/>
      <c r="D123" s="36"/>
      <c r="E123" s="36"/>
      <c r="F123" s="38"/>
      <c r="G123" s="38"/>
      <c r="H123" s="39">
        <f>IF(F123="",IF(G123="","",SUM($F$2:F123)-SUM($G$2:G123)),SUM($F$2:F123)-SUM($G$2:G123))</f>
      </c>
      <c r="I123" s="36"/>
      <c r="J123" s="40">
        <f>IF(K123=0,0,VLOOKUP(K123,Sheet1!$A$1:$B$30,2))</f>
        <v>0</v>
      </c>
      <c r="K123" s="36"/>
      <c r="L123" s="66">
        <f>IF(M123=0,0,VLOOKUP(M123,Sheet1!$D$1:$E$30,2))</f>
        <v>0</v>
      </c>
      <c r="M123" s="36"/>
    </row>
    <row r="124" spans="1:13" ht="13.5">
      <c r="A124" s="36"/>
      <c r="B124" s="36"/>
      <c r="C124" s="36"/>
      <c r="D124" s="36"/>
      <c r="E124" s="36"/>
      <c r="F124" s="38"/>
      <c r="G124" s="38"/>
      <c r="H124" s="39">
        <f>IF(F124="",IF(G124="","",SUM($F$2:F124)-SUM($G$2:G124)),SUM($F$2:F124)-SUM($G$2:G124))</f>
      </c>
      <c r="I124" s="36"/>
      <c r="J124" s="40">
        <f>IF(K124=0,0,VLOOKUP(K124,Sheet1!$A$1:$B$30,2))</f>
        <v>0</v>
      </c>
      <c r="K124" s="36"/>
      <c r="L124" s="66">
        <f>IF(M124=0,0,VLOOKUP(M124,Sheet1!$D$1:$E$30,2))</f>
        <v>0</v>
      </c>
      <c r="M124" s="36"/>
    </row>
    <row r="125" spans="1:13" ht="13.5">
      <c r="A125" s="36"/>
      <c r="B125" s="36"/>
      <c r="C125" s="36"/>
      <c r="D125" s="36"/>
      <c r="E125" s="36"/>
      <c r="F125" s="38"/>
      <c r="G125" s="38"/>
      <c r="H125" s="39">
        <f>IF(F125="",IF(G125="","",SUM($F$2:F125)-SUM($G$2:G125)),SUM($F$2:F125)-SUM($G$2:G125))</f>
      </c>
      <c r="I125" s="36"/>
      <c r="J125" s="40">
        <f>IF(K125=0,0,VLOOKUP(K125,Sheet1!$A$1:$B$30,2))</f>
        <v>0</v>
      </c>
      <c r="K125" s="36"/>
      <c r="L125" s="66">
        <f>IF(M125=0,0,VLOOKUP(M125,Sheet1!$D$1:$E$30,2))</f>
        <v>0</v>
      </c>
      <c r="M125" s="36"/>
    </row>
    <row r="126" spans="1:13" ht="13.5">
      <c r="A126" s="36"/>
      <c r="B126" s="36"/>
      <c r="C126" s="36"/>
      <c r="D126" s="36"/>
      <c r="E126" s="36"/>
      <c r="F126" s="38"/>
      <c r="G126" s="38"/>
      <c r="H126" s="39">
        <f>IF(F126="",IF(G126="","",SUM($F$2:F126)-SUM($G$2:G126)),SUM($F$2:F126)-SUM($G$2:G126))</f>
      </c>
      <c r="I126" s="36"/>
      <c r="J126" s="40">
        <f>IF(K126=0,0,VLOOKUP(K126,Sheet1!$A$1:$B$30,2))</f>
        <v>0</v>
      </c>
      <c r="K126" s="36"/>
      <c r="L126" s="66">
        <f>IF(M126=0,0,VLOOKUP(M126,Sheet1!$D$1:$E$30,2))</f>
        <v>0</v>
      </c>
      <c r="M126" s="36"/>
    </row>
    <row r="127" spans="1:13" ht="13.5">
      <c r="A127" s="36"/>
      <c r="B127" s="36"/>
      <c r="C127" s="36"/>
      <c r="D127" s="36"/>
      <c r="E127" s="36"/>
      <c r="F127" s="38"/>
      <c r="G127" s="38"/>
      <c r="H127" s="39">
        <f>IF(F127="",IF(G127="","",SUM($F$2:F127)-SUM($G$2:G127)),SUM($F$2:F127)-SUM($G$2:G127))</f>
      </c>
      <c r="I127" s="36"/>
      <c r="J127" s="40">
        <f>IF(K127=0,0,VLOOKUP(K127,Sheet1!$A$1:$B$30,2))</f>
        <v>0</v>
      </c>
      <c r="K127" s="36"/>
      <c r="L127" s="66">
        <f>IF(M127=0,0,VLOOKUP(M127,Sheet1!$D$1:$E$30,2))</f>
        <v>0</v>
      </c>
      <c r="M127" s="36"/>
    </row>
    <row r="128" spans="1:13" ht="13.5">
      <c r="A128" s="36"/>
      <c r="B128" s="36"/>
      <c r="C128" s="36"/>
      <c r="D128" s="36"/>
      <c r="E128" s="102"/>
      <c r="F128" s="38"/>
      <c r="G128" s="38"/>
      <c r="H128" s="39">
        <f>IF(F128="",IF(G128="","",SUM($F$2:F128)-SUM($G$2:G128)),SUM($F$2:F128)-SUM($G$2:G128))</f>
      </c>
      <c r="I128" s="36"/>
      <c r="J128" s="40">
        <f>IF(K128=0,0,VLOOKUP(K128,Sheet1!$A$1:$B$30,2))</f>
        <v>0</v>
      </c>
      <c r="K128" s="36"/>
      <c r="L128" s="66">
        <f>IF(M128=0,0,VLOOKUP(M128,Sheet1!$D$1:$E$30,2))</f>
        <v>0</v>
      </c>
      <c r="M128" s="36"/>
    </row>
    <row r="129" spans="1:13" ht="13.5">
      <c r="A129" s="36"/>
      <c r="B129" s="36"/>
      <c r="C129" s="36"/>
      <c r="D129" s="36"/>
      <c r="E129" s="36"/>
      <c r="F129" s="38"/>
      <c r="G129" s="38"/>
      <c r="H129" s="39">
        <f>IF(F129="",IF(G129="","",SUM($F$2:F129)-SUM($G$2:G129)),SUM($F$2:F129)-SUM($G$2:G129))</f>
      </c>
      <c r="I129" s="36"/>
      <c r="J129" s="40">
        <f>IF(K129=0,0,VLOOKUP(K129,Sheet1!$A$1:$B$30,2))</f>
        <v>0</v>
      </c>
      <c r="K129" s="36"/>
      <c r="L129" s="66">
        <f>IF(M129=0,0,VLOOKUP(M129,Sheet1!$D$1:$E$30,2))</f>
        <v>0</v>
      </c>
      <c r="M129" s="36"/>
    </row>
    <row r="130" spans="1:13" ht="13.5">
      <c r="A130" s="36"/>
      <c r="B130" s="36"/>
      <c r="C130" s="36"/>
      <c r="D130" s="36"/>
      <c r="E130" s="36"/>
      <c r="F130" s="38"/>
      <c r="G130" s="38"/>
      <c r="H130" s="39">
        <f>IF(F130="",IF(G130="","",SUM($F$2:F130)-SUM($G$2:G130)),SUM($F$2:F130)-SUM($G$2:G130))</f>
      </c>
      <c r="I130" s="36"/>
      <c r="J130" s="40">
        <f>IF(K130=0,0,VLOOKUP(K130,Sheet1!$A$1:$B$30,2))</f>
        <v>0</v>
      </c>
      <c r="K130" s="36"/>
      <c r="L130" s="66">
        <f>IF(M130=0,0,VLOOKUP(M130,Sheet1!$D$1:$E$30,2))</f>
        <v>0</v>
      </c>
      <c r="M130" s="36"/>
    </row>
    <row r="131" spans="1:13" ht="13.5">
      <c r="A131" s="36"/>
      <c r="B131" s="36"/>
      <c r="C131" s="36"/>
      <c r="D131" s="36"/>
      <c r="E131" s="36"/>
      <c r="F131" s="38"/>
      <c r="G131" s="38"/>
      <c r="H131" s="39">
        <f>IF(F131="",IF(G131="","",SUM($F$2:F131)-SUM($G$2:G131)),SUM($F$2:F131)-SUM($G$2:G131))</f>
      </c>
      <c r="I131" s="36"/>
      <c r="J131" s="40">
        <f>IF(K131=0,0,VLOOKUP(K131,Sheet1!$A$1:$B$30,2))</f>
        <v>0</v>
      </c>
      <c r="K131" s="36"/>
      <c r="L131" s="66">
        <f>IF(M131=0,0,VLOOKUP(M131,Sheet1!$D$1:$E$30,2))</f>
        <v>0</v>
      </c>
      <c r="M131" s="36"/>
    </row>
    <row r="132" spans="1:13" ht="13.5">
      <c r="A132" s="36"/>
      <c r="B132" s="36"/>
      <c r="C132" s="36"/>
      <c r="D132" s="36"/>
      <c r="E132" s="36"/>
      <c r="F132" s="38"/>
      <c r="G132" s="38"/>
      <c r="H132" s="39">
        <f>IF(F132="",IF(G132="","",SUM($F$2:F132)-SUM($G$2:G132)),SUM($F$2:F132)-SUM($G$2:G132))</f>
      </c>
      <c r="I132" s="36"/>
      <c r="J132" s="40">
        <f>IF(K132=0,0,VLOOKUP(K132,Sheet1!$A$1:$B$30,2))</f>
        <v>0</v>
      </c>
      <c r="K132" s="36"/>
      <c r="L132" s="66">
        <f>IF(M132=0,0,VLOOKUP(M132,Sheet1!$D$1:$E$30,2))</f>
        <v>0</v>
      </c>
      <c r="M132" s="36"/>
    </row>
    <row r="133" spans="1:13" ht="13.5">
      <c r="A133" s="36"/>
      <c r="B133" s="36"/>
      <c r="C133" s="36"/>
      <c r="D133" s="36"/>
      <c r="E133" s="36"/>
      <c r="F133" s="38"/>
      <c r="G133" s="38"/>
      <c r="H133" s="39">
        <f>IF(F133="",IF(G133="","",SUM($F$2:F133)-SUM($G$2:G133)),SUM($F$2:F133)-SUM($G$2:G133))</f>
      </c>
      <c r="I133" s="36"/>
      <c r="J133" s="40">
        <f>IF(K133=0,0,VLOOKUP(K133,Sheet1!$A$1:$B$30,2))</f>
        <v>0</v>
      </c>
      <c r="K133" s="36"/>
      <c r="L133" s="66">
        <f>IF(M133=0,0,VLOOKUP(M133,Sheet1!$D$1:$E$30,2))</f>
        <v>0</v>
      </c>
      <c r="M133" s="36"/>
    </row>
    <row r="134" spans="1:13" ht="13.5">
      <c r="A134" s="36"/>
      <c r="B134" s="36"/>
      <c r="C134" s="36"/>
      <c r="D134" s="36"/>
      <c r="E134" s="36"/>
      <c r="F134" s="38"/>
      <c r="G134" s="38"/>
      <c r="H134" s="39">
        <f>IF(F134="",IF(G134="","",SUM($F$2:F134)-SUM($G$2:G134)),SUM($F$2:F134)-SUM($G$2:G134))</f>
      </c>
      <c r="I134" s="36"/>
      <c r="J134" s="40">
        <f>IF(K134=0,0,VLOOKUP(K134,Sheet1!$A$1:$B$30,2))</f>
        <v>0</v>
      </c>
      <c r="K134" s="36"/>
      <c r="L134" s="66">
        <f>IF(M134=0,0,VLOOKUP(M134,Sheet1!$D$1:$E$30,2))</f>
        <v>0</v>
      </c>
      <c r="M134" s="36"/>
    </row>
    <row r="135" spans="1:13" ht="13.5">
      <c r="A135" s="36"/>
      <c r="B135" s="36"/>
      <c r="C135" s="36"/>
      <c r="D135" s="36"/>
      <c r="E135" s="36"/>
      <c r="F135" s="38"/>
      <c r="G135" s="38"/>
      <c r="H135" s="39">
        <f>IF(F135="",IF(G135="","",SUM($F$2:F135)-SUM($G$2:G135)),SUM($F$2:F135)-SUM($G$2:G135))</f>
      </c>
      <c r="I135" s="36"/>
      <c r="J135" s="40">
        <f>IF(K135=0,0,VLOOKUP(K135,Sheet1!$A$1:$B$30,2))</f>
        <v>0</v>
      </c>
      <c r="K135" s="36"/>
      <c r="L135" s="66">
        <f>IF(M135=0,0,VLOOKUP(M135,Sheet1!$D$1:$E$30,2))</f>
        <v>0</v>
      </c>
      <c r="M135" s="36"/>
    </row>
    <row r="136" spans="1:13" ht="13.5">
      <c r="A136" s="36"/>
      <c r="B136" s="36"/>
      <c r="C136" s="36"/>
      <c r="D136" s="36"/>
      <c r="E136" s="102"/>
      <c r="F136" s="38"/>
      <c r="G136" s="38"/>
      <c r="H136" s="39">
        <f>IF(F136="",IF(G136="","",SUM($F$2:F136)-SUM($G$2:G136)),SUM($F$2:F136)-SUM($G$2:G136))</f>
      </c>
      <c r="I136" s="36"/>
      <c r="J136" s="40">
        <f>IF(K136=0,0,VLOOKUP(K136,Sheet1!$A$1:$B$30,2))</f>
        <v>0</v>
      </c>
      <c r="K136" s="36"/>
      <c r="L136" s="66">
        <f>IF(M136=0,0,VLOOKUP(M136,Sheet1!$D$1:$E$30,2))</f>
        <v>0</v>
      </c>
      <c r="M136" s="36"/>
    </row>
    <row r="137" spans="1:13" ht="13.5">
      <c r="A137" s="36"/>
      <c r="B137" s="36"/>
      <c r="C137" s="36"/>
      <c r="D137" s="36"/>
      <c r="E137" s="36"/>
      <c r="F137" s="38"/>
      <c r="G137" s="38"/>
      <c r="H137" s="39">
        <f>IF(F137="",IF(G137="","",SUM($F$2:F137)-SUM($G$2:G137)),SUM($F$2:F137)-SUM($G$2:G137))</f>
      </c>
      <c r="I137" s="36"/>
      <c r="J137" s="40">
        <f>IF(K137=0,0,VLOOKUP(K137,Sheet1!$A$1:$B$30,2))</f>
        <v>0</v>
      </c>
      <c r="K137" s="36"/>
      <c r="L137" s="66">
        <f>IF(M137=0,0,VLOOKUP(M137,Sheet1!$D$1:$E$30,2))</f>
        <v>0</v>
      </c>
      <c r="M137" s="36"/>
    </row>
    <row r="138" spans="1:13" ht="13.5">
      <c r="A138" s="36"/>
      <c r="B138" s="36"/>
      <c r="C138" s="36"/>
      <c r="D138" s="36"/>
      <c r="E138" s="36"/>
      <c r="F138" s="38"/>
      <c r="G138" s="38"/>
      <c r="H138" s="39">
        <f>IF(F138="",IF(G138="","",SUM($F$2:F138)-SUM($G$2:G138)),SUM($F$2:F138)-SUM($G$2:G138))</f>
      </c>
      <c r="I138" s="36"/>
      <c r="J138" s="40">
        <f>IF(K138=0,0,VLOOKUP(K138,Sheet1!$A$1:$B$30,2))</f>
        <v>0</v>
      </c>
      <c r="K138" s="36"/>
      <c r="L138" s="66">
        <f>IF(M138=0,0,VLOOKUP(M138,Sheet1!$D$1:$E$30,2))</f>
        <v>0</v>
      </c>
      <c r="M138" s="36"/>
    </row>
    <row r="139" spans="1:13" ht="13.5">
      <c r="A139" s="36"/>
      <c r="B139" s="36"/>
      <c r="C139" s="36"/>
      <c r="D139" s="36"/>
      <c r="E139" s="36"/>
      <c r="F139" s="38"/>
      <c r="G139" s="38"/>
      <c r="H139" s="39">
        <f>IF(F139="",IF(G139="","",SUM($F$2:F139)-SUM($G$2:G139)),SUM($F$2:F139)-SUM($G$2:G139))</f>
      </c>
      <c r="I139" s="36"/>
      <c r="J139" s="40">
        <f>IF(K139=0,0,VLOOKUP(K139,Sheet1!$A$1:$B$30,2))</f>
        <v>0</v>
      </c>
      <c r="K139" s="36"/>
      <c r="L139" s="66">
        <f>IF(M139=0,0,VLOOKUP(M139,Sheet1!$D$1:$E$30,2))</f>
        <v>0</v>
      </c>
      <c r="M139" s="36"/>
    </row>
    <row r="140" spans="1:13" ht="13.5">
      <c r="A140" s="36"/>
      <c r="B140" s="36"/>
      <c r="C140" s="36"/>
      <c r="D140" s="36"/>
      <c r="E140" s="36"/>
      <c r="F140" s="38"/>
      <c r="G140" s="38"/>
      <c r="H140" s="39">
        <f>IF(F140="",IF(G140="","",SUM($F$2:F140)-SUM($G$2:G140)),SUM($F$2:F140)-SUM($G$2:G140))</f>
      </c>
      <c r="I140" s="36"/>
      <c r="J140" s="40">
        <f>IF(K140=0,0,VLOOKUP(K140,Sheet1!$A$1:$B$30,2))</f>
        <v>0</v>
      </c>
      <c r="K140" s="36"/>
      <c r="L140" s="66">
        <f>IF(M140=0,0,VLOOKUP(M140,Sheet1!$D$1:$E$30,2))</f>
        <v>0</v>
      </c>
      <c r="M140" s="36"/>
    </row>
    <row r="141" spans="1:13" ht="13.5">
      <c r="A141" s="36"/>
      <c r="B141" s="36"/>
      <c r="C141" s="36"/>
      <c r="D141" s="36"/>
      <c r="E141" s="36"/>
      <c r="F141" s="38"/>
      <c r="G141" s="38"/>
      <c r="H141" s="39">
        <f>IF(F141="",IF(G141="","",SUM($F$2:F141)-SUM($G$2:G141)),SUM($F$2:F141)-SUM($G$2:G141))</f>
      </c>
      <c r="I141" s="36"/>
      <c r="J141" s="40">
        <f>IF(K141=0,0,VLOOKUP(K141,Sheet1!$A$1:$B$30,2))</f>
        <v>0</v>
      </c>
      <c r="K141" s="36"/>
      <c r="L141" s="66">
        <f>IF(M141=0,0,VLOOKUP(M141,Sheet1!$D$1:$E$30,2))</f>
        <v>0</v>
      </c>
      <c r="M141" s="36"/>
    </row>
    <row r="142" spans="1:13" ht="13.5">
      <c r="A142" s="36"/>
      <c r="B142" s="36"/>
      <c r="C142" s="36"/>
      <c r="D142" s="36"/>
      <c r="E142" s="36"/>
      <c r="F142" s="38"/>
      <c r="G142" s="38"/>
      <c r="H142" s="39">
        <f>IF(F142="",IF(G142="","",SUM($F$2:F142)-SUM($G$2:G142)),SUM($F$2:F142)-SUM($G$2:G142))</f>
      </c>
      <c r="I142" s="36"/>
      <c r="J142" s="40">
        <f>IF(K142=0,0,VLOOKUP(K142,Sheet1!$A$1:$B$30,2))</f>
        <v>0</v>
      </c>
      <c r="K142" s="36"/>
      <c r="L142" s="66">
        <f>IF(M142=0,0,VLOOKUP(M142,Sheet1!$D$1:$E$30,2))</f>
        <v>0</v>
      </c>
      <c r="M142" s="36"/>
    </row>
    <row r="143" spans="1:13" ht="13.5">
      <c r="A143" s="36"/>
      <c r="B143" s="36"/>
      <c r="C143" s="36"/>
      <c r="D143" s="36"/>
      <c r="E143" s="36"/>
      <c r="F143" s="38"/>
      <c r="G143" s="38"/>
      <c r="H143" s="39">
        <f>IF(F143="",IF(G143="","",SUM($F$2:F143)-SUM($G$2:G143)),SUM($F$2:F143)-SUM($G$2:G143))</f>
      </c>
      <c r="I143" s="36"/>
      <c r="J143" s="40">
        <f>IF(K143=0,0,VLOOKUP(K143,Sheet1!$A$1:$B$30,2))</f>
        <v>0</v>
      </c>
      <c r="K143" s="36"/>
      <c r="L143" s="66">
        <f>IF(M143=0,0,VLOOKUP(M143,Sheet1!$D$1:$E$30,2))</f>
        <v>0</v>
      </c>
      <c r="M143" s="36"/>
    </row>
    <row r="144" spans="1:13" ht="13.5">
      <c r="A144" s="36"/>
      <c r="B144" s="36"/>
      <c r="C144" s="36"/>
      <c r="D144" s="36"/>
      <c r="E144" s="36"/>
      <c r="F144" s="38"/>
      <c r="G144" s="38"/>
      <c r="H144" s="39">
        <f>IF(F144="",IF(G144="","",SUM($F$2:F144)-SUM($G$2:G144)),SUM($F$2:F144)-SUM($G$2:G144))</f>
      </c>
      <c r="I144" s="36"/>
      <c r="J144" s="40">
        <f>IF(K144=0,0,VLOOKUP(K144,Sheet1!$A$1:$B$30,2))</f>
        <v>0</v>
      </c>
      <c r="K144" s="36"/>
      <c r="L144" s="66">
        <f>IF(M144=0,0,VLOOKUP(M144,Sheet1!$D$1:$E$30,2))</f>
        <v>0</v>
      </c>
      <c r="M144" s="36"/>
    </row>
    <row r="145" spans="1:13" ht="13.5">
      <c r="A145" s="36"/>
      <c r="B145" s="36"/>
      <c r="C145" s="36"/>
      <c r="D145" s="36"/>
      <c r="E145" s="36"/>
      <c r="F145" s="38"/>
      <c r="G145" s="38"/>
      <c r="H145" s="39">
        <f>IF(F145="",IF(G145="","",SUM($F$2:F145)-SUM($G$2:G145)),SUM($F$2:F145)-SUM($G$2:G145))</f>
      </c>
      <c r="I145" s="36"/>
      <c r="J145" s="40">
        <f>IF(K145=0,0,VLOOKUP(K145,Sheet1!$A$1:$B$30,2))</f>
        <v>0</v>
      </c>
      <c r="K145" s="36"/>
      <c r="L145" s="66">
        <f>IF(M145=0,0,VLOOKUP(M145,Sheet1!$D$1:$E$30,2))</f>
        <v>0</v>
      </c>
      <c r="M145" s="36"/>
    </row>
    <row r="146" spans="1:13" ht="13.5">
      <c r="A146" s="36"/>
      <c r="B146" s="36"/>
      <c r="C146" s="36"/>
      <c r="D146" s="36"/>
      <c r="E146" s="36"/>
      <c r="F146" s="38"/>
      <c r="G146" s="38"/>
      <c r="H146" s="39">
        <f>IF(F146="",IF(G146="","",SUM($F$2:F146)-SUM($G$2:G146)),SUM($F$2:F146)-SUM($G$2:G146))</f>
      </c>
      <c r="I146" s="36"/>
      <c r="J146" s="40">
        <f>IF(K146=0,0,VLOOKUP(K146,Sheet1!$A$1:$B$30,2))</f>
        <v>0</v>
      </c>
      <c r="K146" s="36"/>
      <c r="L146" s="66">
        <f>IF(M146=0,0,VLOOKUP(M146,Sheet1!$D$1:$E$30,2))</f>
        <v>0</v>
      </c>
      <c r="M146" s="36"/>
    </row>
    <row r="147" spans="1:13" ht="13.5">
      <c r="A147" s="36"/>
      <c r="B147" s="36"/>
      <c r="C147" s="36"/>
      <c r="D147" s="36"/>
      <c r="E147" s="36"/>
      <c r="F147" s="38"/>
      <c r="G147" s="38"/>
      <c r="H147" s="39">
        <f>IF(F147="",IF(G147="","",SUM($F$2:F147)-SUM($G$2:G147)),SUM($F$2:F147)-SUM($G$2:G147))</f>
      </c>
      <c r="I147" s="36"/>
      <c r="J147" s="40">
        <f>IF(K147=0,0,VLOOKUP(K147,Sheet1!$A$1:$B$30,2))</f>
        <v>0</v>
      </c>
      <c r="K147" s="36"/>
      <c r="L147" s="66">
        <f>IF(M147=0,0,VLOOKUP(M147,Sheet1!$D$1:$E$30,2))</f>
        <v>0</v>
      </c>
      <c r="M147" s="36"/>
    </row>
    <row r="148" spans="1:13" ht="13.5">
      <c r="A148" s="36"/>
      <c r="B148" s="36"/>
      <c r="C148" s="36"/>
      <c r="D148" s="36"/>
      <c r="E148" s="36"/>
      <c r="F148" s="38"/>
      <c r="G148" s="38"/>
      <c r="H148" s="39">
        <f>IF(F148="",IF(G148="","",SUM($F$2:F148)-SUM($G$2:G148)),SUM($F$2:F148)-SUM($G$2:G148))</f>
      </c>
      <c r="I148" s="36"/>
      <c r="J148" s="40">
        <f>IF(K148=0,0,VLOOKUP(K148,Sheet1!$A$1:$B$30,2))</f>
        <v>0</v>
      </c>
      <c r="K148" s="36"/>
      <c r="L148" s="66">
        <f>IF(M148=0,0,VLOOKUP(M148,Sheet1!$D$1:$E$30,2))</f>
        <v>0</v>
      </c>
      <c r="M148" s="36"/>
    </row>
    <row r="149" spans="1:13" ht="13.5">
      <c r="A149" s="36"/>
      <c r="B149" s="36"/>
      <c r="C149" s="36"/>
      <c r="D149" s="36"/>
      <c r="E149" s="102"/>
      <c r="F149" s="38"/>
      <c r="G149" s="38"/>
      <c r="H149" s="39">
        <f>IF(F149="",IF(G149="","",SUM($F$2:F149)-SUM($G$2:G149)),SUM($F$2:F149)-SUM($G$2:G149))</f>
      </c>
      <c r="I149" s="36"/>
      <c r="J149" s="40">
        <f>IF(K149=0,0,VLOOKUP(K149,Sheet1!$A$1:$B$30,2))</f>
        <v>0</v>
      </c>
      <c r="K149" s="36"/>
      <c r="L149" s="66">
        <f>IF(M149=0,0,VLOOKUP(M149,Sheet1!$D$1:$E$30,2))</f>
        <v>0</v>
      </c>
      <c r="M149" s="36"/>
    </row>
    <row r="150" spans="1:13" ht="13.5">
      <c r="A150" s="36"/>
      <c r="B150" s="36"/>
      <c r="C150" s="36"/>
      <c r="D150" s="36"/>
      <c r="E150" s="36"/>
      <c r="F150" s="38"/>
      <c r="G150" s="38"/>
      <c r="H150" s="39">
        <f>IF(F150="",IF(G150="","",SUM($F$2:F150)-SUM($G$2:G150)),SUM($F$2:F150)-SUM($G$2:G150))</f>
      </c>
      <c r="I150" s="36"/>
      <c r="J150" s="40">
        <f>IF(K150=0,0,VLOOKUP(K150,Sheet1!$A$1:$B$30,2))</f>
        <v>0</v>
      </c>
      <c r="K150" s="36"/>
      <c r="L150" s="66">
        <f>IF(M150=0,0,VLOOKUP(M150,Sheet1!$D$1:$E$30,2))</f>
        <v>0</v>
      </c>
      <c r="M150" s="36"/>
    </row>
    <row r="151" spans="1:13" ht="13.5">
      <c r="A151" s="36"/>
      <c r="B151" s="36"/>
      <c r="C151" s="36"/>
      <c r="D151" s="36"/>
      <c r="E151" s="36"/>
      <c r="F151" s="38"/>
      <c r="G151" s="38"/>
      <c r="H151" s="39">
        <f>IF(F151="",IF(G151="","",SUM($F$2:F151)-SUM($G$2:G151)),SUM($F$2:F151)-SUM($G$2:G151))</f>
      </c>
      <c r="I151" s="36"/>
      <c r="J151" s="40">
        <f>IF(K151=0,0,VLOOKUP(K151,Sheet1!$A$1:$B$30,2))</f>
        <v>0</v>
      </c>
      <c r="K151" s="36"/>
      <c r="L151" s="66">
        <f>IF(M151=0,0,VLOOKUP(M151,Sheet1!$D$1:$E$30,2))</f>
        <v>0</v>
      </c>
      <c r="M151" s="36"/>
    </row>
    <row r="152" spans="1:13" ht="13.5">
      <c r="A152" s="36"/>
      <c r="B152" s="36"/>
      <c r="C152" s="36"/>
      <c r="D152" s="36"/>
      <c r="E152" s="36"/>
      <c r="F152" s="38"/>
      <c r="G152" s="38"/>
      <c r="H152" s="39">
        <f>IF(F152="",IF(G152="","",SUM($F$2:F152)-SUM($G$2:G152)),SUM($F$2:F152)-SUM($G$2:G152))</f>
      </c>
      <c r="I152" s="36"/>
      <c r="J152" s="40">
        <f>IF(K152=0,0,VLOOKUP(K152,Sheet1!$A$1:$B$30,2))</f>
        <v>0</v>
      </c>
      <c r="K152" s="36"/>
      <c r="L152" s="66">
        <f>IF(M152=0,0,VLOOKUP(M152,Sheet1!$D$1:$E$30,2))</f>
        <v>0</v>
      </c>
      <c r="M152" s="36"/>
    </row>
    <row r="153" spans="1:13" ht="13.5">
      <c r="A153" s="36"/>
      <c r="B153" s="36"/>
      <c r="C153" s="36"/>
      <c r="D153" s="36"/>
      <c r="E153" s="36"/>
      <c r="F153" s="38"/>
      <c r="G153" s="38"/>
      <c r="H153" s="39">
        <f>IF(F153="",IF(G153="","",SUM($F$2:F153)-SUM($G$2:G153)),SUM($F$2:F153)-SUM($G$2:G153))</f>
      </c>
      <c r="I153" s="36"/>
      <c r="J153" s="40">
        <f>IF(K153=0,0,VLOOKUP(K153,Sheet1!$A$1:$B$30,2))</f>
        <v>0</v>
      </c>
      <c r="K153" s="36"/>
      <c r="L153" s="66">
        <f>IF(M153=0,0,VLOOKUP(M153,Sheet1!$D$1:$E$30,2))</f>
        <v>0</v>
      </c>
      <c r="M153" s="36"/>
    </row>
    <row r="154" spans="1:13" ht="13.5">
      <c r="A154" s="36"/>
      <c r="B154" s="36"/>
      <c r="C154" s="36"/>
      <c r="D154" s="36"/>
      <c r="E154" s="36"/>
      <c r="F154" s="38"/>
      <c r="G154" s="38"/>
      <c r="H154" s="39">
        <f>IF(F154="",IF(G154="","",SUM($F$2:F154)-SUM($G$2:G154)),SUM($F$2:F154)-SUM($G$2:G154))</f>
      </c>
      <c r="I154" s="36"/>
      <c r="J154" s="40">
        <f>IF(K154=0,0,VLOOKUP(K154,Sheet1!$A$1:$B$30,2))</f>
        <v>0</v>
      </c>
      <c r="K154" s="36"/>
      <c r="L154" s="66">
        <f>IF(M154=0,0,VLOOKUP(M154,Sheet1!$D$1:$E$30,2))</f>
        <v>0</v>
      </c>
      <c r="M154" s="36"/>
    </row>
    <row r="155" spans="1:13" ht="13.5">
      <c r="A155" s="36"/>
      <c r="B155" s="36"/>
      <c r="C155" s="36"/>
      <c r="D155" s="36"/>
      <c r="E155" s="36"/>
      <c r="F155" s="38"/>
      <c r="G155" s="38"/>
      <c r="H155" s="39">
        <f>IF(F155="",IF(G155="","",SUM($F$2:F155)-SUM($G$2:G155)),SUM($F$2:F155)-SUM($G$2:G155))</f>
      </c>
      <c r="I155" s="36"/>
      <c r="J155" s="40">
        <f>IF(K155=0,0,VLOOKUP(K155,Sheet1!$A$1:$B$30,2))</f>
        <v>0</v>
      </c>
      <c r="K155" s="36"/>
      <c r="L155" s="66">
        <f>IF(M155=0,0,VLOOKUP(M155,Sheet1!$D$1:$E$30,2))</f>
        <v>0</v>
      </c>
      <c r="M155" s="36"/>
    </row>
    <row r="156" spans="1:13" ht="13.5">
      <c r="A156" s="36"/>
      <c r="B156" s="36"/>
      <c r="C156" s="36"/>
      <c r="D156" s="36"/>
      <c r="E156" s="36"/>
      <c r="F156" s="38"/>
      <c r="G156" s="38"/>
      <c r="H156" s="39">
        <f>IF(F156="",IF(G156="","",SUM($F$2:F156)-SUM($G$2:G156)),SUM($F$2:F156)-SUM($G$2:G156))</f>
      </c>
      <c r="I156" s="36"/>
      <c r="J156" s="40">
        <f>IF(K156=0,0,VLOOKUP(K156,Sheet1!$A$1:$B$30,2))</f>
        <v>0</v>
      </c>
      <c r="K156" s="36"/>
      <c r="L156" s="66">
        <f>IF(M156=0,0,VLOOKUP(M156,Sheet1!$D$1:$E$30,2))</f>
        <v>0</v>
      </c>
      <c r="M156" s="36"/>
    </row>
    <row r="157" spans="1:13" ht="13.5">
      <c r="A157" s="36"/>
      <c r="B157" s="36"/>
      <c r="C157" s="36"/>
      <c r="D157" s="36"/>
      <c r="E157" s="36"/>
      <c r="F157" s="38"/>
      <c r="G157" s="38"/>
      <c r="H157" s="39">
        <f>IF(F157="",IF(G157="","",SUM($F$2:F157)-SUM($G$2:G157)),SUM($F$2:F157)-SUM($G$2:G157))</f>
      </c>
      <c r="I157" s="36"/>
      <c r="J157" s="40">
        <f>IF(K157=0,0,VLOOKUP(K157,Sheet1!$A$1:$B$30,2))</f>
        <v>0</v>
      </c>
      <c r="K157" s="36"/>
      <c r="L157" s="66">
        <f>IF(M157=0,0,VLOOKUP(M157,Sheet1!$D$1:$E$30,2))</f>
        <v>0</v>
      </c>
      <c r="M157" s="36"/>
    </row>
    <row r="158" spans="1:13" ht="13.5">
      <c r="A158" s="36"/>
      <c r="B158" s="36"/>
      <c r="C158" s="36"/>
      <c r="D158" s="36"/>
      <c r="E158" s="36"/>
      <c r="F158" s="38"/>
      <c r="G158" s="38"/>
      <c r="H158" s="39">
        <f>IF(F158="",IF(G158="","",SUM($F$2:F158)-SUM($G$2:G158)),SUM($F$2:F158)-SUM($G$2:G158))</f>
      </c>
      <c r="I158" s="36"/>
      <c r="J158" s="40">
        <f>IF(K158=0,0,VLOOKUP(K158,Sheet1!$A$1:$B$30,2))</f>
        <v>0</v>
      </c>
      <c r="K158" s="36"/>
      <c r="L158" s="66">
        <f>IF(M158=0,0,VLOOKUP(M158,Sheet1!$D$1:$E$30,2))</f>
        <v>0</v>
      </c>
      <c r="M158" s="36"/>
    </row>
    <row r="159" spans="1:13" ht="13.5">
      <c r="A159" s="36"/>
      <c r="B159" s="36"/>
      <c r="C159" s="36"/>
      <c r="D159" s="36"/>
      <c r="E159" s="36"/>
      <c r="F159" s="38"/>
      <c r="G159" s="38"/>
      <c r="H159" s="39">
        <f>IF(F159="",IF(G159="","",SUM($F$2:F159)-SUM($G$2:G159)),SUM($F$2:F159)-SUM($G$2:G159))</f>
      </c>
      <c r="I159" s="36"/>
      <c r="J159" s="40">
        <f>IF(K159=0,0,VLOOKUP(K159,Sheet1!$A$1:$B$30,2))</f>
        <v>0</v>
      </c>
      <c r="K159" s="36"/>
      <c r="L159" s="66">
        <f>IF(M159=0,0,VLOOKUP(M159,Sheet1!$D$1:$E$30,2))</f>
        <v>0</v>
      </c>
      <c r="M159" s="36"/>
    </row>
    <row r="160" spans="1:13" ht="13.5">
      <c r="A160" s="36"/>
      <c r="B160" s="36"/>
      <c r="C160" s="36"/>
      <c r="D160" s="36"/>
      <c r="E160" s="36"/>
      <c r="F160" s="38"/>
      <c r="G160" s="38"/>
      <c r="H160" s="39">
        <f>IF(F160="",IF(G160="","",SUM($F$2:F160)-SUM($G$2:G160)),SUM($F$2:F160)-SUM($G$2:G160))</f>
      </c>
      <c r="I160" s="36"/>
      <c r="J160" s="40">
        <f>IF(K160=0,0,VLOOKUP(K160,Sheet1!$A$1:$B$30,2))</f>
        <v>0</v>
      </c>
      <c r="K160" s="36"/>
      <c r="L160" s="66">
        <f>IF(M160=0,0,VLOOKUP(M160,Sheet1!$D$1:$E$30,2))</f>
        <v>0</v>
      </c>
      <c r="M160" s="36"/>
    </row>
    <row r="161" spans="1:13" ht="13.5">
      <c r="A161" s="36"/>
      <c r="B161" s="36"/>
      <c r="C161" s="36"/>
      <c r="D161" s="36"/>
      <c r="E161" s="36"/>
      <c r="F161" s="38"/>
      <c r="G161" s="38"/>
      <c r="H161" s="39">
        <f>IF(F161="",IF(G161="","",SUM($F$2:F161)-SUM($G$2:G161)),SUM($F$2:F161)-SUM($G$2:G161))</f>
      </c>
      <c r="I161" s="36"/>
      <c r="J161" s="40">
        <f>IF(K161=0,0,VLOOKUP(K161,Sheet1!$A$1:$B$30,2))</f>
        <v>0</v>
      </c>
      <c r="K161" s="36"/>
      <c r="L161" s="66">
        <f>IF(M161=0,0,VLOOKUP(M161,Sheet1!$D$1:$E$30,2))</f>
        <v>0</v>
      </c>
      <c r="M161" s="36"/>
    </row>
    <row r="162" spans="1:13" ht="13.5">
      <c r="A162" s="36"/>
      <c r="B162" s="36"/>
      <c r="C162" s="36"/>
      <c r="D162" s="36"/>
      <c r="E162" s="36"/>
      <c r="F162" s="38"/>
      <c r="G162" s="38"/>
      <c r="H162" s="39">
        <f>IF(F162="",IF(G162="","",SUM($F$2:F162)-SUM($G$2:G162)),SUM($F$2:F162)-SUM($G$2:G162))</f>
      </c>
      <c r="I162" s="36"/>
      <c r="J162" s="40">
        <f>IF(K162=0,0,VLOOKUP(K162,Sheet1!$A$1:$B$30,2))</f>
        <v>0</v>
      </c>
      <c r="K162" s="36"/>
      <c r="L162" s="66">
        <f>IF(M162=0,0,VLOOKUP(M162,Sheet1!$D$1:$E$30,2))</f>
        <v>0</v>
      </c>
      <c r="M162" s="36"/>
    </row>
    <row r="163" spans="1:13" ht="13.5">
      <c r="A163" s="36"/>
      <c r="B163" s="36"/>
      <c r="C163" s="36"/>
      <c r="D163" s="36"/>
      <c r="E163" s="36"/>
      <c r="F163" s="38"/>
      <c r="G163" s="38"/>
      <c r="H163" s="39">
        <f>IF(F163="",IF(G163="","",SUM($F$2:F163)-SUM($G$2:G163)),SUM($F$2:F163)-SUM($G$2:G163))</f>
      </c>
      <c r="I163" s="36"/>
      <c r="J163" s="40">
        <f>IF(K163=0,0,VLOOKUP(K163,Sheet1!$A$1:$B$30,2))</f>
        <v>0</v>
      </c>
      <c r="K163" s="36"/>
      <c r="L163" s="66">
        <f>IF(M163=0,0,VLOOKUP(M163,Sheet1!$D$1:$E$30,2))</f>
        <v>0</v>
      </c>
      <c r="M163" s="36"/>
    </row>
    <row r="164" spans="1:13" ht="13.5">
      <c r="A164" s="36"/>
      <c r="B164" s="36"/>
      <c r="C164" s="36"/>
      <c r="D164" s="36"/>
      <c r="E164" s="26"/>
      <c r="F164" s="38"/>
      <c r="G164" s="38"/>
      <c r="H164" s="39">
        <f>IF(F164="",IF(G164="","",SUM($F$2:F164)-SUM($G$2:G164)),SUM($F$2:F164)-SUM($G$2:G164))</f>
      </c>
      <c r="I164" s="36"/>
      <c r="J164" s="40">
        <f>IF(K164=0,0,VLOOKUP(K164,Sheet1!$A$1:$B$30,2))</f>
        <v>0</v>
      </c>
      <c r="K164" s="36"/>
      <c r="L164" s="66">
        <f>IF(M164=0,0,VLOOKUP(M164,Sheet1!$D$1:$E$30,2))</f>
        <v>0</v>
      </c>
      <c r="M164" s="36"/>
    </row>
    <row r="165" spans="1:13" ht="13.5">
      <c r="A165" s="36"/>
      <c r="B165" s="36"/>
      <c r="C165" s="36"/>
      <c r="D165" s="36"/>
      <c r="E165" s="26"/>
      <c r="F165" s="38"/>
      <c r="G165" s="38"/>
      <c r="H165" s="39">
        <f>IF(F165="",IF(G165="","",SUM($F$2:F165)-SUM($G$2:G165)),SUM($F$2:F165)-SUM($G$2:G165))</f>
      </c>
      <c r="I165" s="36"/>
      <c r="J165" s="40">
        <f>IF(K165=0,0,VLOOKUP(K165,Sheet1!$A$1:$B$30,2))</f>
        <v>0</v>
      </c>
      <c r="K165" s="36"/>
      <c r="L165" s="66">
        <f>IF(M165=0,0,VLOOKUP(M165,Sheet1!$D$1:$E$30,2))</f>
        <v>0</v>
      </c>
      <c r="M165" s="36"/>
    </row>
    <row r="166" spans="1:13" ht="13.5">
      <c r="A166" s="36"/>
      <c r="B166" s="36"/>
      <c r="C166" s="36"/>
      <c r="D166" s="36"/>
      <c r="E166" s="26"/>
      <c r="F166" s="38"/>
      <c r="G166" s="38"/>
      <c r="H166" s="39">
        <f>IF(F166="",IF(G166="","",SUM($F$2:F166)-SUM($G$2:G166)),SUM($F$2:F166)-SUM($G$2:G166))</f>
      </c>
      <c r="I166" s="36"/>
      <c r="J166" s="40">
        <f>IF(K166=0,0,VLOOKUP(K166,Sheet1!$A$1:$B$30,2))</f>
        <v>0</v>
      </c>
      <c r="K166" s="36"/>
      <c r="L166" s="66">
        <f>IF(M166=0,0,VLOOKUP(M166,Sheet1!$D$1:$E$30,2))</f>
        <v>0</v>
      </c>
      <c r="M166" s="36"/>
    </row>
    <row r="167" spans="1:13" ht="13.5">
      <c r="A167" s="36"/>
      <c r="B167" s="36"/>
      <c r="C167" s="36"/>
      <c r="D167" s="36"/>
      <c r="E167" s="26"/>
      <c r="F167" s="38"/>
      <c r="G167" s="38"/>
      <c r="H167" s="39">
        <f>IF(F167="",IF(G167="","",SUM($F$2:F167)-SUM($G$2:G167)),SUM($F$2:F167)-SUM($G$2:G167))</f>
      </c>
      <c r="I167" s="36"/>
      <c r="J167" s="40">
        <f>IF(K167=0,0,VLOOKUP(K167,Sheet1!$A$1:$B$30,2))</f>
        <v>0</v>
      </c>
      <c r="K167" s="36"/>
      <c r="L167" s="66">
        <f>IF(M167=0,0,VLOOKUP(M167,Sheet1!$D$1:$E$30,2))</f>
        <v>0</v>
      </c>
      <c r="M167" s="36"/>
    </row>
    <row r="168" spans="1:13" ht="13.5">
      <c r="A168" s="36"/>
      <c r="B168" s="36"/>
      <c r="C168" s="36"/>
      <c r="D168" s="36"/>
      <c r="E168" s="26"/>
      <c r="F168" s="38"/>
      <c r="G168" s="38"/>
      <c r="H168" s="39">
        <f>IF(F168="",IF(G168="","",SUM($F$2:F168)-SUM($G$2:G168)),SUM($F$2:F168)-SUM($G$2:G168))</f>
      </c>
      <c r="I168" s="36"/>
      <c r="J168" s="40">
        <f>IF(K168=0,0,VLOOKUP(K168,Sheet1!$A$1:$B$30,2))</f>
        <v>0</v>
      </c>
      <c r="K168" s="36"/>
      <c r="L168" s="66">
        <f>IF(M168=0,0,VLOOKUP(M168,Sheet1!$D$1:$E$30,2))</f>
        <v>0</v>
      </c>
      <c r="M168" s="36"/>
    </row>
    <row r="169" spans="1:13" ht="13.5">
      <c r="A169" s="36"/>
      <c r="B169" s="36"/>
      <c r="C169" s="36"/>
      <c r="D169" s="36"/>
      <c r="E169" s="26"/>
      <c r="F169" s="38"/>
      <c r="G169" s="38"/>
      <c r="H169" s="39">
        <f>IF(F169="",IF(G169="","",SUM($F$2:F169)-SUM($G$2:G169)),SUM($F$2:F169)-SUM($G$2:G169))</f>
      </c>
      <c r="I169" s="36"/>
      <c r="J169" s="40">
        <f>IF(K169=0,0,VLOOKUP(K169,Sheet1!$A$1:$B$30,2))</f>
        <v>0</v>
      </c>
      <c r="K169" s="36"/>
      <c r="L169" s="66">
        <f>IF(M169=0,0,VLOOKUP(M169,Sheet1!$D$1:$E$30,2))</f>
        <v>0</v>
      </c>
      <c r="M169" s="36"/>
    </row>
    <row r="170" spans="1:13" ht="13.5">
      <c r="A170" s="36"/>
      <c r="B170" s="36"/>
      <c r="C170" s="36"/>
      <c r="D170" s="36"/>
      <c r="E170" s="26"/>
      <c r="F170" s="38"/>
      <c r="G170" s="38"/>
      <c r="H170" s="39">
        <f>IF(F170="",IF(G170="","",SUM($F$2:F170)-SUM($G$2:G170)),SUM($F$2:F170)-SUM($G$2:G170))</f>
      </c>
      <c r="I170" s="36"/>
      <c r="J170" s="40">
        <f>IF(K170=0,0,VLOOKUP(K170,Sheet1!$A$1:$B$30,2))</f>
        <v>0</v>
      </c>
      <c r="K170" s="36"/>
      <c r="L170" s="66">
        <f>IF(M170=0,0,VLOOKUP(M170,Sheet1!$D$1:$E$30,2))</f>
        <v>0</v>
      </c>
      <c r="M170" s="36"/>
    </row>
    <row r="171" spans="1:13" ht="13.5">
      <c r="A171" s="36"/>
      <c r="B171" s="36"/>
      <c r="C171" s="36"/>
      <c r="D171" s="36"/>
      <c r="E171" s="26"/>
      <c r="F171" s="38"/>
      <c r="G171" s="38"/>
      <c r="H171" s="39">
        <f>IF(F171="",IF(G171="","",SUM($F$2:F171)-SUM($G$2:G171)),SUM($F$2:F171)-SUM($G$2:G171))</f>
      </c>
      <c r="I171" s="36"/>
      <c r="J171" s="40">
        <f>IF(K171=0,0,VLOOKUP(K171,Sheet1!$A$1:$B$30,2))</f>
        <v>0</v>
      </c>
      <c r="K171" s="36"/>
      <c r="L171" s="66">
        <f>IF(M171=0,0,VLOOKUP(M171,Sheet1!$D$1:$E$30,2))</f>
        <v>0</v>
      </c>
      <c r="M171" s="36"/>
    </row>
    <row r="172" spans="1:13" ht="13.5">
      <c r="A172" s="36"/>
      <c r="B172" s="36"/>
      <c r="C172" s="36"/>
      <c r="D172" s="36"/>
      <c r="E172" s="26"/>
      <c r="F172" s="38"/>
      <c r="G172" s="38"/>
      <c r="H172" s="39">
        <f>IF(F172="",IF(G172="","",SUM($F$2:F172)-SUM($G$2:G172)),SUM($F$2:F172)-SUM($G$2:G172))</f>
      </c>
      <c r="I172" s="36"/>
      <c r="J172" s="40">
        <f>IF(K172=0,0,VLOOKUP(K172,Sheet1!$A$1:$B$30,2))</f>
        <v>0</v>
      </c>
      <c r="K172" s="36"/>
      <c r="L172" s="66">
        <f>IF(M172=0,0,VLOOKUP(M172,Sheet1!$D$1:$E$30,2))</f>
        <v>0</v>
      </c>
      <c r="M172" s="36"/>
    </row>
    <row r="173" spans="1:13" ht="13.5">
      <c r="A173" s="36"/>
      <c r="B173" s="36"/>
      <c r="C173" s="36"/>
      <c r="D173" s="36"/>
      <c r="E173" s="26"/>
      <c r="F173" s="38"/>
      <c r="G173" s="38"/>
      <c r="H173" s="39">
        <f>IF(F173="",IF(G173="","",SUM($F$2:F173)-SUM($G$2:G173)),SUM($F$2:F173)-SUM($G$2:G173))</f>
      </c>
      <c r="I173" s="36"/>
      <c r="J173" s="40">
        <f>IF(K173=0,0,VLOOKUP(K173,Sheet1!$A$1:$B$30,2))</f>
        <v>0</v>
      </c>
      <c r="K173" s="36"/>
      <c r="L173" s="66">
        <f>IF(M173=0,0,VLOOKUP(M173,Sheet1!$D$1:$E$30,2))</f>
        <v>0</v>
      </c>
      <c r="M173" s="36"/>
    </row>
    <row r="174" spans="1:13" ht="13.5">
      <c r="A174" s="36"/>
      <c r="B174" s="36"/>
      <c r="C174" s="36"/>
      <c r="D174" s="36"/>
      <c r="E174" s="26"/>
      <c r="F174" s="38"/>
      <c r="G174" s="38"/>
      <c r="H174" s="39">
        <f>IF(F174="",IF(G174="","",SUM($F$2:F174)-SUM($G$2:G174)),SUM($F$2:F174)-SUM($G$2:G174))</f>
      </c>
      <c r="I174" s="36"/>
      <c r="J174" s="40">
        <f>IF(K174=0,0,VLOOKUP(K174,Sheet1!$A$1:$B$30,2))</f>
        <v>0</v>
      </c>
      <c r="K174" s="36"/>
      <c r="L174" s="66">
        <f>IF(M174=0,0,VLOOKUP(M174,Sheet1!$D$1:$E$30,2))</f>
        <v>0</v>
      </c>
      <c r="M174" s="36"/>
    </row>
    <row r="175" spans="1:13" ht="13.5">
      <c r="A175" s="36"/>
      <c r="B175" s="36"/>
      <c r="C175" s="36"/>
      <c r="D175" s="36"/>
      <c r="E175" s="26"/>
      <c r="F175" s="38"/>
      <c r="G175" s="38"/>
      <c r="H175" s="39">
        <f>IF(F175="",IF(G175="","",SUM($F$2:F175)-SUM($G$2:G175)),SUM($F$2:F175)-SUM($G$2:G175))</f>
      </c>
      <c r="I175" s="36"/>
      <c r="J175" s="40">
        <f>IF(K175=0,0,VLOOKUP(K175,Sheet1!$A$1:$B$30,2))</f>
        <v>0</v>
      </c>
      <c r="K175" s="36"/>
      <c r="L175" s="66">
        <f>IF(M175=0,0,VLOOKUP(M175,Sheet1!$D$1:$E$30,2))</f>
        <v>0</v>
      </c>
      <c r="M175" s="36"/>
    </row>
    <row r="176" spans="1:13" ht="13.5">
      <c r="A176" s="36"/>
      <c r="B176" s="36"/>
      <c r="C176" s="36"/>
      <c r="D176" s="36"/>
      <c r="E176" s="26"/>
      <c r="F176" s="38"/>
      <c r="G176" s="38"/>
      <c r="H176" s="39">
        <f>IF(F176="",IF(G176="","",SUM($F$2:F176)-SUM($G$2:G176)),SUM($F$2:F176)-SUM($G$2:G176))</f>
      </c>
      <c r="I176" s="36"/>
      <c r="J176" s="40">
        <f>IF(K176=0,0,VLOOKUP(K176,Sheet1!$A$1:$B$30,2))</f>
        <v>0</v>
      </c>
      <c r="K176" s="36"/>
      <c r="L176" s="66">
        <f>IF(M176=0,0,VLOOKUP(M176,Sheet1!$D$1:$E$30,2))</f>
        <v>0</v>
      </c>
      <c r="M176" s="36"/>
    </row>
    <row r="177" spans="1:13" ht="13.5">
      <c r="A177" s="36"/>
      <c r="B177" s="36"/>
      <c r="C177" s="36"/>
      <c r="D177" s="36"/>
      <c r="E177" s="26"/>
      <c r="F177" s="38"/>
      <c r="G177" s="38"/>
      <c r="H177" s="39">
        <f>IF(F177="",IF(G177="","",SUM($F$2:F177)-SUM($G$2:G177)),SUM($F$2:F177)-SUM($G$2:G177))</f>
      </c>
      <c r="I177" s="36"/>
      <c r="J177" s="40">
        <f>IF(K177=0,0,VLOOKUP(K177,Sheet1!$A$1:$B$30,2))</f>
        <v>0</v>
      </c>
      <c r="K177" s="36"/>
      <c r="L177" s="66">
        <f>IF(M177=0,0,VLOOKUP(M177,Sheet1!$D$1:$E$30,2))</f>
        <v>0</v>
      </c>
      <c r="M177" s="36"/>
    </row>
    <row r="178" spans="1:13" ht="13.5">
      <c r="A178" s="36"/>
      <c r="B178" s="36"/>
      <c r="C178" s="36"/>
      <c r="D178" s="36"/>
      <c r="E178" s="26"/>
      <c r="F178" s="38"/>
      <c r="G178" s="38"/>
      <c r="H178" s="39">
        <f>IF(F178="",IF(G178="","",SUM($F$2:F178)-SUM($G$2:G178)),SUM($F$2:F178)-SUM($G$2:G178))</f>
      </c>
      <c r="I178" s="36"/>
      <c r="J178" s="40">
        <f>IF(K178=0,0,VLOOKUP(K178,Sheet1!$A$1:$B$30,2))</f>
        <v>0</v>
      </c>
      <c r="K178" s="36"/>
      <c r="L178" s="66">
        <f>IF(M178=0,0,VLOOKUP(M178,Sheet1!$D$1:$E$30,2))</f>
        <v>0</v>
      </c>
      <c r="M178" s="36"/>
    </row>
    <row r="179" spans="1:13" ht="13.5">
      <c r="A179" s="36"/>
      <c r="B179" s="36"/>
      <c r="C179" s="36"/>
      <c r="D179" s="36"/>
      <c r="E179" s="26"/>
      <c r="F179" s="38"/>
      <c r="G179" s="38"/>
      <c r="H179" s="39">
        <f>IF(F179="",IF(G179="","",SUM($F$2:F179)-SUM($G$2:G179)),SUM($F$2:F179)-SUM($G$2:G179))</f>
      </c>
      <c r="I179" s="36"/>
      <c r="J179" s="40">
        <f>IF(K179=0,0,VLOOKUP(K179,Sheet1!$A$1:$B$30,2))</f>
        <v>0</v>
      </c>
      <c r="K179" s="36"/>
      <c r="L179" s="66">
        <f>IF(M179=0,0,VLOOKUP(M179,Sheet1!$D$1:$E$30,2))</f>
        <v>0</v>
      </c>
      <c r="M179" s="36"/>
    </row>
    <row r="180" spans="1:13" ht="13.5">
      <c r="A180" s="36"/>
      <c r="B180" s="36"/>
      <c r="C180" s="36"/>
      <c r="D180" s="36"/>
      <c r="E180" s="26"/>
      <c r="F180" s="38"/>
      <c r="G180" s="38"/>
      <c r="H180" s="39">
        <f>IF(F180="",IF(G180="","",SUM($F$2:F180)-SUM($G$2:G180)),SUM($F$2:F180)-SUM($G$2:G180))</f>
      </c>
      <c r="I180" s="36"/>
      <c r="J180" s="40">
        <f>IF(K180=0,0,VLOOKUP(K180,Sheet1!$A$1:$B$30,2))</f>
        <v>0</v>
      </c>
      <c r="K180" s="36"/>
      <c r="L180" s="66">
        <f>IF(M180=0,0,VLOOKUP(M180,Sheet1!$D$1:$E$30,2))</f>
        <v>0</v>
      </c>
      <c r="M180" s="36"/>
    </row>
    <row r="181" spans="1:13" ht="13.5">
      <c r="A181" s="36"/>
      <c r="B181" s="36"/>
      <c r="C181" s="36"/>
      <c r="D181" s="36"/>
      <c r="E181" s="26"/>
      <c r="F181" s="38"/>
      <c r="G181" s="38"/>
      <c r="H181" s="39">
        <f>IF(F181="",IF(G181="","",SUM($F$2:F181)-SUM($G$2:G181)),SUM($F$2:F181)-SUM($G$2:G181))</f>
      </c>
      <c r="I181" s="36"/>
      <c r="J181" s="40">
        <f>IF(K181=0,0,VLOOKUP(K181,Sheet1!$A$1:$B$30,2))</f>
        <v>0</v>
      </c>
      <c r="K181" s="36"/>
      <c r="L181" s="66">
        <f>IF(M181=0,0,VLOOKUP(M181,Sheet1!$D$1:$E$30,2))</f>
        <v>0</v>
      </c>
      <c r="M181" s="36"/>
    </row>
    <row r="182" spans="1:13" ht="13.5">
      <c r="A182" s="36"/>
      <c r="B182" s="36"/>
      <c r="C182" s="36"/>
      <c r="D182" s="36"/>
      <c r="E182" s="26"/>
      <c r="F182" s="38"/>
      <c r="G182" s="38"/>
      <c r="H182" s="39">
        <f>IF(F182="",IF(G182="","",SUM($F$2:F182)-SUM($G$2:G182)),SUM($F$2:F182)-SUM($G$2:G182))</f>
      </c>
      <c r="I182" s="36"/>
      <c r="J182" s="40">
        <f>IF(K182=0,0,VLOOKUP(K182,Sheet1!$A$1:$B$30,2))</f>
        <v>0</v>
      </c>
      <c r="K182" s="36"/>
      <c r="L182" s="66">
        <f>IF(M182=0,0,VLOOKUP(M182,Sheet1!$D$1:$E$30,2))</f>
        <v>0</v>
      </c>
      <c r="M182" s="36"/>
    </row>
    <row r="183" spans="1:13" ht="13.5">
      <c r="A183" s="36"/>
      <c r="B183" s="36"/>
      <c r="C183" s="36"/>
      <c r="D183" s="36"/>
      <c r="E183" s="26"/>
      <c r="F183" s="38"/>
      <c r="G183" s="38"/>
      <c r="H183" s="39">
        <f>IF(F183="",IF(G183="","",SUM($F$2:F183)-SUM($G$2:G183)),SUM($F$2:F183)-SUM($G$2:G183))</f>
      </c>
      <c r="I183" s="36"/>
      <c r="J183" s="40">
        <f>IF(K183=0,0,VLOOKUP(K183,Sheet1!$A$1:$B$30,2))</f>
        <v>0</v>
      </c>
      <c r="K183" s="36"/>
      <c r="L183" s="66">
        <f>IF(M183=0,0,VLOOKUP(M183,Sheet1!$D$1:$E$30,2))</f>
        <v>0</v>
      </c>
      <c r="M183" s="36"/>
    </row>
    <row r="184" spans="1:13" ht="13.5">
      <c r="A184" s="36"/>
      <c r="B184" s="36"/>
      <c r="C184" s="36"/>
      <c r="D184" s="36"/>
      <c r="E184" s="26"/>
      <c r="F184" s="38"/>
      <c r="G184" s="38"/>
      <c r="H184" s="39">
        <f>IF(F184="",IF(G184="","",SUM($F$2:F184)-SUM($G$2:G184)),SUM($F$2:F184)-SUM($G$2:G184))</f>
      </c>
      <c r="I184" s="36"/>
      <c r="J184" s="40">
        <f>IF(K184=0,0,VLOOKUP(K184,Sheet1!$A$1:$B$30,2))</f>
        <v>0</v>
      </c>
      <c r="K184" s="36"/>
      <c r="L184" s="66">
        <f>IF(M184=0,0,VLOOKUP(M184,Sheet1!$D$1:$E$30,2))</f>
        <v>0</v>
      </c>
      <c r="M184" s="36"/>
    </row>
    <row r="185" spans="1:13" ht="13.5">
      <c r="A185" s="36"/>
      <c r="B185" s="36"/>
      <c r="C185" s="36"/>
      <c r="D185" s="36"/>
      <c r="E185" s="26"/>
      <c r="F185" s="38"/>
      <c r="G185" s="38"/>
      <c r="H185" s="39">
        <f>IF(F185="",IF(G185="","",SUM($F$2:F185)-SUM($G$2:G185)),SUM($F$2:F185)-SUM($G$2:G185))</f>
      </c>
      <c r="I185" s="36"/>
      <c r="J185" s="40">
        <f>IF(K185=0,0,VLOOKUP(K185,Sheet1!$A$1:$B$30,2))</f>
        <v>0</v>
      </c>
      <c r="K185" s="36"/>
      <c r="L185" s="66">
        <f>IF(M185=0,0,VLOOKUP(M185,Sheet1!$D$1:$E$30,2))</f>
        <v>0</v>
      </c>
      <c r="M185" s="36"/>
    </row>
    <row r="186" spans="1:13" ht="13.5">
      <c r="A186" s="36"/>
      <c r="B186" s="36"/>
      <c r="C186" s="36"/>
      <c r="D186" s="36"/>
      <c r="E186" s="26"/>
      <c r="F186" s="38"/>
      <c r="G186" s="38"/>
      <c r="H186" s="39">
        <f>IF(F186="",IF(G186="","",SUM($F$2:F186)-SUM($G$2:G186)),SUM($F$2:F186)-SUM($G$2:G186))</f>
      </c>
      <c r="I186" s="36"/>
      <c r="J186" s="40">
        <f>IF(K186=0,0,VLOOKUP(K186,Sheet1!$A$1:$B$30,2))</f>
        <v>0</v>
      </c>
      <c r="K186" s="36"/>
      <c r="L186" s="66">
        <f>IF(M186=0,0,VLOOKUP(M186,Sheet1!$D$1:$E$30,2))</f>
        <v>0</v>
      </c>
      <c r="M186" s="36"/>
    </row>
    <row r="187" spans="1:13" ht="13.5">
      <c r="A187" s="36"/>
      <c r="B187" s="36"/>
      <c r="C187" s="36"/>
      <c r="D187" s="36"/>
      <c r="E187" s="26"/>
      <c r="F187" s="38"/>
      <c r="G187" s="38"/>
      <c r="H187" s="39">
        <f>IF(F187="",IF(G187="","",SUM($F$2:F187)-SUM($G$2:G187)),SUM($F$2:F187)-SUM($G$2:G187))</f>
      </c>
      <c r="I187" s="36"/>
      <c r="J187" s="40">
        <f>IF(K187=0,0,VLOOKUP(K187,Sheet1!$A$1:$B$30,2))</f>
        <v>0</v>
      </c>
      <c r="K187" s="36"/>
      <c r="L187" s="66">
        <f>IF(M187=0,0,VLOOKUP(M187,Sheet1!$D$1:$E$30,2))</f>
        <v>0</v>
      </c>
      <c r="M187" s="36"/>
    </row>
    <row r="188" spans="1:13" ht="13.5">
      <c r="A188" s="36"/>
      <c r="B188" s="36"/>
      <c r="C188" s="36"/>
      <c r="D188" s="36"/>
      <c r="E188" s="26"/>
      <c r="F188" s="38"/>
      <c r="G188" s="38"/>
      <c r="H188" s="39">
        <f>IF(F188="",IF(G188="","",SUM($F$2:F188)-SUM($G$2:G188)),SUM($F$2:F188)-SUM($G$2:G188))</f>
      </c>
      <c r="I188" s="36"/>
      <c r="J188" s="40">
        <f>IF(K188=0,0,VLOOKUP(K188,Sheet1!$A$1:$B$30,2))</f>
        <v>0</v>
      </c>
      <c r="K188" s="36"/>
      <c r="L188" s="66">
        <f>IF(M188=0,0,VLOOKUP(M188,Sheet1!$D$1:$E$30,2))</f>
        <v>0</v>
      </c>
      <c r="M188" s="36"/>
    </row>
    <row r="189" spans="1:13" ht="13.5">
      <c r="A189" s="36"/>
      <c r="B189" s="36"/>
      <c r="C189" s="36"/>
      <c r="D189" s="36"/>
      <c r="E189" s="26"/>
      <c r="F189" s="38"/>
      <c r="G189" s="38"/>
      <c r="H189" s="39">
        <f>IF(F189="",IF(G189="","",SUM($F$2:F189)-SUM($G$2:G189)),SUM($F$2:F189)-SUM($G$2:G189))</f>
      </c>
      <c r="I189" s="36"/>
      <c r="J189" s="40">
        <f>IF(K189=0,0,VLOOKUP(K189,Sheet1!$A$1:$B$30,2))</f>
        <v>0</v>
      </c>
      <c r="K189" s="36"/>
      <c r="L189" s="66">
        <f>IF(M189=0,0,VLOOKUP(M189,Sheet1!$D$1:$E$30,2))</f>
        <v>0</v>
      </c>
      <c r="M189" s="36"/>
    </row>
    <row r="190" spans="1:13" ht="13.5">
      <c r="A190" s="36"/>
      <c r="B190" s="36"/>
      <c r="C190" s="36"/>
      <c r="D190" s="36"/>
      <c r="E190" s="26"/>
      <c r="F190" s="38"/>
      <c r="G190" s="38"/>
      <c r="H190" s="39">
        <f>IF(F190="",IF(G190="","",SUM($F$2:F190)-SUM($G$2:G190)),SUM($F$2:F190)-SUM($G$2:G190))</f>
      </c>
      <c r="I190" s="36"/>
      <c r="J190" s="40">
        <f>IF(K190=0,0,VLOOKUP(K190,Sheet1!$A$1:$B$30,2))</f>
        <v>0</v>
      </c>
      <c r="K190" s="36"/>
      <c r="L190" s="66">
        <f>IF(M190=0,0,VLOOKUP(M190,Sheet1!$D$1:$E$30,2))</f>
        <v>0</v>
      </c>
      <c r="M190" s="36"/>
    </row>
    <row r="191" spans="1:13" ht="13.5">
      <c r="A191" s="36"/>
      <c r="B191" s="36"/>
      <c r="C191" s="36"/>
      <c r="D191" s="36"/>
      <c r="E191" s="26"/>
      <c r="F191" s="38"/>
      <c r="G191" s="38"/>
      <c r="H191" s="39">
        <f>IF(F191="",IF(G191="","",SUM($F$2:F191)-SUM($G$2:G191)),SUM($F$2:F191)-SUM($G$2:G191))</f>
      </c>
      <c r="I191" s="36"/>
      <c r="J191" s="40">
        <f>IF(K191=0,0,VLOOKUP(K191,Sheet1!$A$1:$B$30,2))</f>
        <v>0</v>
      </c>
      <c r="K191" s="36"/>
      <c r="L191" s="66">
        <f>IF(M191=0,0,VLOOKUP(M191,Sheet1!$D$1:$E$30,2))</f>
        <v>0</v>
      </c>
      <c r="M191" s="36"/>
    </row>
    <row r="192" spans="1:13" ht="13.5">
      <c r="A192" s="36"/>
      <c r="B192" s="36"/>
      <c r="C192" s="36"/>
      <c r="D192" s="36"/>
      <c r="E192" s="26"/>
      <c r="F192" s="38"/>
      <c r="G192" s="38"/>
      <c r="H192" s="39">
        <f>IF(F192="",IF(G192="","",SUM($F$2:F192)-SUM($G$2:G192)),SUM($F$2:F192)-SUM($G$2:G192))</f>
      </c>
      <c r="I192" s="36"/>
      <c r="J192" s="40">
        <f>IF(K192=0,0,VLOOKUP(K192,Sheet1!$A$1:$B$30,2))</f>
        <v>0</v>
      </c>
      <c r="K192" s="36"/>
      <c r="L192" s="66">
        <f>IF(M192=0,0,VLOOKUP(M192,Sheet1!$D$1:$E$30,2))</f>
        <v>0</v>
      </c>
      <c r="M192" s="36"/>
    </row>
    <row r="193" spans="1:13" ht="13.5">
      <c r="A193" s="36"/>
      <c r="B193" s="36"/>
      <c r="C193" s="36"/>
      <c r="D193" s="36"/>
      <c r="E193" s="26"/>
      <c r="F193" s="38"/>
      <c r="G193" s="38"/>
      <c r="H193" s="39">
        <f>IF(F193="",IF(G193="","",SUM($F$2:F193)-SUM($G$2:G193)),SUM($F$2:F193)-SUM($G$2:G193))</f>
      </c>
      <c r="I193" s="36"/>
      <c r="J193" s="40">
        <f>IF(K193=0,0,VLOOKUP(K193,Sheet1!$A$1:$B$30,2))</f>
        <v>0</v>
      </c>
      <c r="K193" s="36"/>
      <c r="L193" s="66">
        <f>IF(M193=0,0,VLOOKUP(M193,Sheet1!$D$1:$E$30,2))</f>
        <v>0</v>
      </c>
      <c r="M193" s="36"/>
    </row>
    <row r="194" spans="1:13" ht="13.5">
      <c r="A194" s="36"/>
      <c r="B194" s="36"/>
      <c r="C194" s="36"/>
      <c r="D194" s="36"/>
      <c r="E194" s="26"/>
      <c r="F194" s="38"/>
      <c r="G194" s="38"/>
      <c r="H194" s="39">
        <f>IF(F194="",IF(G194="","",SUM($F$2:F194)-SUM($G$2:G194)),SUM($F$2:F194)-SUM($G$2:G194))</f>
      </c>
      <c r="I194" s="36"/>
      <c r="J194" s="40">
        <f>IF(K194=0,0,VLOOKUP(K194,Sheet1!$A$1:$B$30,2))</f>
        <v>0</v>
      </c>
      <c r="K194" s="36"/>
      <c r="L194" s="66">
        <f>IF(M194=0,0,VLOOKUP(M194,Sheet1!$D$1:$E$30,2))</f>
        <v>0</v>
      </c>
      <c r="M194" s="36"/>
    </row>
    <row r="195" spans="1:13" ht="13.5">
      <c r="A195" s="36"/>
      <c r="B195" s="36"/>
      <c r="C195" s="36"/>
      <c r="D195" s="36"/>
      <c r="E195" s="26"/>
      <c r="F195" s="38"/>
      <c r="G195" s="38"/>
      <c r="H195" s="39">
        <f>IF(F195="",IF(G195="","",SUM($F$2:F195)-SUM($G$2:G195)),SUM($F$2:F195)-SUM($G$2:G195))</f>
      </c>
      <c r="I195" s="36"/>
      <c r="J195" s="40">
        <f>IF(K195=0,0,VLOOKUP(K195,Sheet1!$A$1:$B$30,2))</f>
        <v>0</v>
      </c>
      <c r="K195" s="36"/>
      <c r="L195" s="66">
        <f>IF(M195=0,0,VLOOKUP(M195,Sheet1!$D$1:$E$30,2))</f>
        <v>0</v>
      </c>
      <c r="M195" s="36"/>
    </row>
    <row r="196" spans="1:13" ht="13.5">
      <c r="A196" s="36"/>
      <c r="B196" s="36"/>
      <c r="C196" s="36"/>
      <c r="D196" s="36"/>
      <c r="E196" s="26"/>
      <c r="F196" s="38"/>
      <c r="G196" s="38"/>
      <c r="H196" s="39">
        <f>IF(F196="",IF(G196="","",SUM($F$2:F196)-SUM($G$2:G196)),SUM($F$2:F196)-SUM($G$2:G196))</f>
      </c>
      <c r="I196" s="36"/>
      <c r="J196" s="40">
        <f>IF(K196=0,0,VLOOKUP(K196,Sheet1!$A$1:$B$30,2))</f>
        <v>0</v>
      </c>
      <c r="K196" s="36"/>
      <c r="L196" s="66">
        <f>IF(M196=0,0,VLOOKUP(M196,Sheet1!$D$1:$E$30,2))</f>
        <v>0</v>
      </c>
      <c r="M196" s="36"/>
    </row>
    <row r="197" spans="1:13" ht="13.5">
      <c r="A197" s="36"/>
      <c r="B197" s="36"/>
      <c r="C197" s="36"/>
      <c r="D197" s="36"/>
      <c r="E197" s="26"/>
      <c r="F197" s="38"/>
      <c r="G197" s="38"/>
      <c r="H197" s="39">
        <f>IF(F197="",IF(G197="","",SUM($F$2:F197)-SUM($G$2:G197)),SUM($F$2:F197)-SUM($G$2:G197))</f>
      </c>
      <c r="I197" s="36"/>
      <c r="J197" s="40">
        <f>IF(K197=0,0,VLOOKUP(K197,Sheet1!$A$1:$B$30,2))</f>
        <v>0</v>
      </c>
      <c r="K197" s="36"/>
      <c r="L197" s="66">
        <f>IF(M197=0,0,VLOOKUP(M197,Sheet1!$D$1:$E$30,2))</f>
        <v>0</v>
      </c>
      <c r="M197" s="36"/>
    </row>
    <row r="198" spans="1:13" ht="13.5">
      <c r="A198" s="36"/>
      <c r="B198" s="36"/>
      <c r="C198" s="36"/>
      <c r="D198" s="36"/>
      <c r="E198" s="26"/>
      <c r="F198" s="38"/>
      <c r="G198" s="38"/>
      <c r="H198" s="39">
        <f>IF(F198="",IF(G198="","",SUM($F$2:F198)-SUM($G$2:G198)),SUM($F$2:F198)-SUM($G$2:G198))</f>
      </c>
      <c r="I198" s="36"/>
      <c r="J198" s="40">
        <f>IF(K198=0,0,VLOOKUP(K198,Sheet1!$A$1:$B$30,2))</f>
        <v>0</v>
      </c>
      <c r="K198" s="36"/>
      <c r="L198" s="66">
        <f>IF(M198=0,0,VLOOKUP(M198,Sheet1!$D$1:$E$30,2))</f>
        <v>0</v>
      </c>
      <c r="M198" s="36"/>
    </row>
    <row r="199" spans="1:13" ht="13.5">
      <c r="A199" s="36"/>
      <c r="B199" s="36"/>
      <c r="C199" s="36"/>
      <c r="D199" s="36"/>
      <c r="E199" s="26"/>
      <c r="F199" s="38"/>
      <c r="G199" s="38"/>
      <c r="H199" s="39">
        <f>IF(F199="",IF(G199="","",SUM($F$2:F199)-SUM($G$2:G199)),SUM($F$2:F199)-SUM($G$2:G199))</f>
      </c>
      <c r="I199" s="36"/>
      <c r="J199" s="40">
        <f>IF(K199=0,0,VLOOKUP(K199,Sheet1!$A$1:$B$30,2))</f>
        <v>0</v>
      </c>
      <c r="K199" s="36"/>
      <c r="L199" s="66">
        <f>IF(M199=0,0,VLOOKUP(M199,Sheet1!$D$1:$E$30,2))</f>
        <v>0</v>
      </c>
      <c r="M199" s="36"/>
    </row>
    <row r="200" spans="1:13" ht="13.5">
      <c r="A200" s="36"/>
      <c r="B200" s="36"/>
      <c r="C200" s="36"/>
      <c r="D200" s="36"/>
      <c r="E200" s="26"/>
      <c r="F200" s="38"/>
      <c r="G200" s="38"/>
      <c r="H200" s="39">
        <f>IF(F200="",IF(G200="","",SUM($F$2:F200)-SUM($G$2:G200)),SUM($F$2:F200)-SUM($G$2:G200))</f>
      </c>
      <c r="I200" s="36"/>
      <c r="J200" s="40">
        <f>IF(K200=0,0,VLOOKUP(K200,Sheet1!$A$1:$B$30,2))</f>
        <v>0</v>
      </c>
      <c r="K200" s="36"/>
      <c r="L200" s="66">
        <f>IF(M200=0,0,VLOOKUP(M200,Sheet1!$D$1:$E$30,2))</f>
        <v>0</v>
      </c>
      <c r="M200" s="36"/>
    </row>
    <row r="201" spans="1:13" ht="13.5">
      <c r="A201" s="36"/>
      <c r="B201" s="36"/>
      <c r="C201" s="36"/>
      <c r="D201" s="36"/>
      <c r="E201" s="26"/>
      <c r="F201" s="38"/>
      <c r="G201" s="38"/>
      <c r="H201" s="39">
        <f>IF(F201="",IF(G201="","",SUM($F$2:F201)-SUM($G$2:G201)),SUM($F$2:F201)-SUM($G$2:G201))</f>
      </c>
      <c r="I201" s="36"/>
      <c r="J201" s="40">
        <f>IF(K201=0,0,VLOOKUP(K201,Sheet1!$A$1:$B$30,2))</f>
        <v>0</v>
      </c>
      <c r="K201" s="36"/>
      <c r="L201" s="66">
        <f>IF(M201=0,0,VLOOKUP(M201,Sheet1!$D$1:$E$30,2))</f>
        <v>0</v>
      </c>
      <c r="M201" s="36"/>
    </row>
    <row r="202" spans="1:13" ht="13.5">
      <c r="A202" s="36"/>
      <c r="B202" s="36"/>
      <c r="C202" s="36"/>
      <c r="D202" s="36"/>
      <c r="E202" s="26"/>
      <c r="F202" s="38"/>
      <c r="G202" s="38"/>
      <c r="H202" s="39">
        <f>IF(F202="",IF(G202="","",SUM($F$2:F202)-SUM($G$2:G202)),SUM($F$2:F202)-SUM($G$2:G202))</f>
      </c>
      <c r="I202" s="36"/>
      <c r="J202" s="40">
        <f>IF(K202=0,0,VLOOKUP(K202,Sheet1!$A$1:$B$30,2))</f>
        <v>0</v>
      </c>
      <c r="K202" s="36"/>
      <c r="L202" s="66">
        <f>IF(M202=0,0,VLOOKUP(M202,Sheet1!$D$1:$E$30,2))</f>
        <v>0</v>
      </c>
      <c r="M202" s="36"/>
    </row>
    <row r="203" spans="1:13" ht="13.5">
      <c r="A203" s="36"/>
      <c r="B203" s="36"/>
      <c r="C203" s="36"/>
      <c r="D203" s="36"/>
      <c r="E203" s="26"/>
      <c r="F203" s="38"/>
      <c r="G203" s="38"/>
      <c r="H203" s="39">
        <f>IF(F203="",IF(G203="","",SUM($F$2:F203)-SUM($G$2:G203)),SUM($F$2:F203)-SUM($G$2:G203))</f>
      </c>
      <c r="I203" s="36"/>
      <c r="J203" s="40">
        <f>IF(K203=0,0,VLOOKUP(K203,Sheet1!$A$1:$B$30,2))</f>
        <v>0</v>
      </c>
      <c r="K203" s="36"/>
      <c r="L203" s="66">
        <f>IF(M203=0,0,VLOOKUP(M203,Sheet1!$D$1:$E$30,2))</f>
        <v>0</v>
      </c>
      <c r="M203" s="36"/>
    </row>
    <row r="204" spans="1:13" ht="13.5">
      <c r="A204" s="36"/>
      <c r="B204" s="36"/>
      <c r="C204" s="36"/>
      <c r="D204" s="36"/>
      <c r="E204" s="26"/>
      <c r="F204" s="38"/>
      <c r="G204" s="38"/>
      <c r="H204" s="39">
        <f>IF(F204="",IF(G204="","",SUM($F$2:F204)-SUM($G$2:G204)),SUM($F$2:F204)-SUM($G$2:G204))</f>
      </c>
      <c r="I204" s="36"/>
      <c r="J204" s="40">
        <f>IF(K204=0,0,VLOOKUP(K204,Sheet1!$A$1:$B$30,2))</f>
        <v>0</v>
      </c>
      <c r="K204" s="36"/>
      <c r="L204" s="66">
        <f>IF(M204=0,0,VLOOKUP(M204,Sheet1!$D$1:$E$30,2))</f>
        <v>0</v>
      </c>
      <c r="M204" s="36"/>
    </row>
    <row r="205" spans="1:13" ht="13.5">
      <c r="A205" s="36"/>
      <c r="B205" s="36"/>
      <c r="C205" s="36"/>
      <c r="D205" s="36"/>
      <c r="E205" s="26"/>
      <c r="F205" s="38"/>
      <c r="G205" s="38"/>
      <c r="H205" s="39">
        <f>IF(F205="",IF(G205="","",SUM($F$2:F205)-SUM($G$2:G205)),SUM($F$2:F205)-SUM($G$2:G205))</f>
      </c>
      <c r="I205" s="36"/>
      <c r="J205" s="40">
        <f>IF(K205=0,0,VLOOKUP(K205,Sheet1!$A$1:$B$30,2))</f>
        <v>0</v>
      </c>
      <c r="K205" s="36"/>
      <c r="L205" s="66">
        <f>IF(M205=0,0,VLOOKUP(M205,Sheet1!$D$1:$E$30,2))</f>
        <v>0</v>
      </c>
      <c r="M205" s="36"/>
    </row>
    <row r="206" spans="1:13" ht="13.5">
      <c r="A206" s="36"/>
      <c r="B206" s="36"/>
      <c r="C206" s="36"/>
      <c r="D206" s="36"/>
      <c r="E206" s="26"/>
      <c r="F206" s="38"/>
      <c r="G206" s="38"/>
      <c r="H206" s="39">
        <f>IF(F206="",IF(G206="","",SUM($F$2:F206)-SUM($G$2:G206)),SUM($F$2:F206)-SUM($G$2:G206))</f>
      </c>
      <c r="I206" s="36"/>
      <c r="J206" s="40">
        <f>IF(K206=0,0,VLOOKUP(K206,Sheet1!$A$1:$B$30,2))</f>
        <v>0</v>
      </c>
      <c r="K206" s="36"/>
      <c r="L206" s="66">
        <f>IF(M206=0,0,VLOOKUP(M206,Sheet1!$D$1:$E$30,2))</f>
        <v>0</v>
      </c>
      <c r="M206" s="36"/>
    </row>
    <row r="207" spans="1:13" ht="13.5">
      <c r="A207" s="36"/>
      <c r="B207" s="36"/>
      <c r="C207" s="36"/>
      <c r="D207" s="36"/>
      <c r="E207" s="26"/>
      <c r="F207" s="38"/>
      <c r="G207" s="38"/>
      <c r="H207" s="39">
        <f>IF(F207="",IF(G207="","",SUM($F$2:F207)-SUM($G$2:G207)),SUM($F$2:F207)-SUM($G$2:G207))</f>
      </c>
      <c r="I207" s="36"/>
      <c r="J207" s="40">
        <f>IF(K207=0,0,VLOOKUP(K207,Sheet1!$A$1:$B$30,2))</f>
        <v>0</v>
      </c>
      <c r="K207" s="36"/>
      <c r="L207" s="66">
        <f>IF(M207=0,0,VLOOKUP(M207,Sheet1!$D$1:$E$30,2))</f>
        <v>0</v>
      </c>
      <c r="M207" s="36"/>
    </row>
    <row r="208" spans="1:13" ht="13.5">
      <c r="A208" s="36"/>
      <c r="B208" s="36"/>
      <c r="C208" s="36"/>
      <c r="D208" s="36"/>
      <c r="E208" s="26"/>
      <c r="F208" s="38"/>
      <c r="G208" s="38"/>
      <c r="H208" s="39">
        <f>IF(F208="",IF(G208="","",SUM($F$2:F208)-SUM($G$2:G208)),SUM($F$2:F208)-SUM($G$2:G208))</f>
      </c>
      <c r="I208" s="36"/>
      <c r="J208" s="40">
        <f>IF(K208=0,0,VLOOKUP(K208,Sheet1!$A$1:$B$30,2))</f>
        <v>0</v>
      </c>
      <c r="K208" s="36"/>
      <c r="L208" s="66">
        <f>IF(M208=0,0,VLOOKUP(M208,Sheet1!$D$1:$E$30,2))</f>
        <v>0</v>
      </c>
      <c r="M208" s="36"/>
    </row>
    <row r="209" spans="1:13" ht="13.5">
      <c r="A209" s="36"/>
      <c r="B209" s="36"/>
      <c r="C209" s="36"/>
      <c r="D209" s="36"/>
      <c r="E209" s="26"/>
      <c r="F209" s="38"/>
      <c r="G209" s="38"/>
      <c r="H209" s="39">
        <f>IF(F209="",IF(G209="","",SUM($F$2:F209)-SUM($G$2:G209)),SUM($F$2:F209)-SUM($G$2:G209))</f>
      </c>
      <c r="I209" s="36"/>
      <c r="J209" s="40">
        <f>IF(K209=0,0,VLOOKUP(K209,Sheet1!$A$1:$B$30,2))</f>
        <v>0</v>
      </c>
      <c r="K209" s="36"/>
      <c r="L209" s="66">
        <f>IF(M209=0,0,VLOOKUP(M209,Sheet1!$D$1:$E$30,2))</f>
        <v>0</v>
      </c>
      <c r="M209" s="36"/>
    </row>
    <row r="210" spans="1:13" ht="13.5">
      <c r="A210" s="36"/>
      <c r="B210" s="36"/>
      <c r="C210" s="36"/>
      <c r="D210" s="36"/>
      <c r="E210" s="26"/>
      <c r="F210" s="38"/>
      <c r="G210" s="38"/>
      <c r="H210" s="39">
        <f>IF(F210="",IF(G210="","",SUM($F$2:F210)-SUM($G$2:G210)),SUM($F$2:F210)-SUM($G$2:G210))</f>
      </c>
      <c r="I210" s="36"/>
      <c r="J210" s="40">
        <f>IF(K210=0,0,VLOOKUP(K210,Sheet1!$A$1:$B$30,2))</f>
        <v>0</v>
      </c>
      <c r="K210" s="36"/>
      <c r="L210" s="66">
        <f>IF(M210=0,0,VLOOKUP(M210,Sheet1!$D$1:$E$30,2))</f>
        <v>0</v>
      </c>
      <c r="M210" s="36"/>
    </row>
    <row r="211" spans="1:13" ht="13.5">
      <c r="A211" s="36"/>
      <c r="B211" s="36"/>
      <c r="C211" s="36"/>
      <c r="D211" s="36"/>
      <c r="E211" s="26"/>
      <c r="F211" s="38"/>
      <c r="G211" s="38"/>
      <c r="H211" s="39">
        <f>IF(F211="",IF(G211="","",SUM($F$2:F211)-SUM($G$2:G211)),SUM($F$2:F211)-SUM($G$2:G211))</f>
      </c>
      <c r="I211" s="36"/>
      <c r="J211" s="40">
        <f>IF(K211=0,0,VLOOKUP(K211,Sheet1!$A$1:$B$30,2))</f>
        <v>0</v>
      </c>
      <c r="K211" s="36"/>
      <c r="L211" s="66">
        <f>IF(M211=0,0,VLOOKUP(M211,Sheet1!$D$1:$E$30,2))</f>
        <v>0</v>
      </c>
      <c r="M211" s="36"/>
    </row>
    <row r="212" spans="1:13" ht="13.5">
      <c r="A212" s="36"/>
      <c r="B212" s="36"/>
      <c r="C212" s="36"/>
      <c r="D212" s="36"/>
      <c r="E212" s="26"/>
      <c r="F212" s="38"/>
      <c r="G212" s="38"/>
      <c r="H212" s="39">
        <f>IF(F212="",IF(G212="","",SUM($F$2:F212)-SUM($G$2:G212)),SUM($F$2:F212)-SUM($G$2:G212))</f>
      </c>
      <c r="I212" s="36"/>
      <c r="J212" s="40">
        <f>IF(K212=0,0,VLOOKUP(K212,Sheet1!$A$1:$B$30,2))</f>
        <v>0</v>
      </c>
      <c r="K212" s="36"/>
      <c r="L212" s="66">
        <f>IF(M212=0,0,VLOOKUP(M212,Sheet1!$D$1:$E$30,2))</f>
        <v>0</v>
      </c>
      <c r="M212" s="36"/>
    </row>
    <row r="213" spans="1:13" ht="13.5">
      <c r="A213" s="36"/>
      <c r="B213" s="36"/>
      <c r="C213" s="36"/>
      <c r="D213" s="36"/>
      <c r="E213" s="26"/>
      <c r="F213" s="38"/>
      <c r="G213" s="38"/>
      <c r="H213" s="39">
        <f>IF(F213="",IF(G213="","",SUM($F$2:F213)-SUM($G$2:G213)),SUM($F$2:F213)-SUM($G$2:G213))</f>
      </c>
      <c r="I213" s="36"/>
      <c r="J213" s="40">
        <f>IF(K213=0,0,VLOOKUP(K213,Sheet1!$A$1:$B$30,2))</f>
        <v>0</v>
      </c>
      <c r="K213" s="36"/>
      <c r="L213" s="66">
        <f>IF(M213=0,0,VLOOKUP(M213,Sheet1!$D$1:$E$30,2))</f>
        <v>0</v>
      </c>
      <c r="M213" s="36"/>
    </row>
    <row r="214" spans="1:13" ht="13.5">
      <c r="A214" s="36"/>
      <c r="B214" s="36"/>
      <c r="C214" s="36"/>
      <c r="D214" s="36"/>
      <c r="E214" s="26"/>
      <c r="F214" s="38"/>
      <c r="G214" s="38"/>
      <c r="H214" s="39">
        <f>IF(F214="",IF(G214="","",SUM($F$2:F214)-SUM($G$2:G214)),SUM($F$2:F214)-SUM($G$2:G214))</f>
      </c>
      <c r="I214" s="36"/>
      <c r="J214" s="40">
        <f>IF(K214=0,0,VLOOKUP(K214,Sheet1!$A$1:$B$30,2))</f>
        <v>0</v>
      </c>
      <c r="K214" s="36"/>
      <c r="L214" s="66">
        <f>IF(M214=0,0,VLOOKUP(M214,Sheet1!$D$1:$E$30,2))</f>
        <v>0</v>
      </c>
      <c r="M214" s="36"/>
    </row>
    <row r="215" spans="1:13" ht="13.5">
      <c r="A215" s="36"/>
      <c r="B215" s="36"/>
      <c r="C215" s="36"/>
      <c r="D215" s="36"/>
      <c r="E215" s="26"/>
      <c r="F215" s="38"/>
      <c r="G215" s="38"/>
      <c r="H215" s="39">
        <f>IF(F215="",IF(G215="","",SUM($F$2:F215)-SUM($G$2:G215)),SUM($F$2:F215)-SUM($G$2:G215))</f>
      </c>
      <c r="I215" s="36"/>
      <c r="J215" s="40">
        <f>IF(K215=0,0,VLOOKUP(K215,Sheet1!$A$1:$B$30,2))</f>
        <v>0</v>
      </c>
      <c r="K215" s="36"/>
      <c r="L215" s="66">
        <f>IF(M215=0,0,VLOOKUP(M215,Sheet1!$D$1:$E$30,2))</f>
        <v>0</v>
      </c>
      <c r="M215" s="36"/>
    </row>
    <row r="216" spans="1:13" ht="13.5">
      <c r="A216" s="36"/>
      <c r="B216" s="36"/>
      <c r="C216" s="36"/>
      <c r="D216" s="36"/>
      <c r="E216" s="26"/>
      <c r="F216" s="38"/>
      <c r="G216" s="38"/>
      <c r="H216" s="39">
        <f>IF(F216="",IF(G216="","",SUM($F$2:F216)-SUM($G$2:G216)),SUM($F$2:F216)-SUM($G$2:G216))</f>
      </c>
      <c r="I216" s="36"/>
      <c r="J216" s="40">
        <f>IF(K216=0,0,VLOOKUP(K216,Sheet1!$A$1:$B$30,2))</f>
        <v>0</v>
      </c>
      <c r="K216" s="36"/>
      <c r="L216" s="66">
        <f>IF(M216=0,0,VLOOKUP(M216,Sheet1!$D$1:$E$30,2))</f>
        <v>0</v>
      </c>
      <c r="M216" s="36"/>
    </row>
    <row r="217" spans="1:13" ht="13.5">
      <c r="A217" s="36"/>
      <c r="B217" s="36"/>
      <c r="C217" s="36"/>
      <c r="D217" s="36"/>
      <c r="E217" s="26"/>
      <c r="F217" s="38"/>
      <c r="G217" s="38"/>
      <c r="H217" s="39">
        <f>IF(F217="",IF(G217="","",SUM($F$2:F217)-SUM($G$2:G217)),SUM($F$2:F217)-SUM($G$2:G217))</f>
      </c>
      <c r="I217" s="36"/>
      <c r="J217" s="40">
        <f>IF(K217=0,0,VLOOKUP(K217,Sheet1!$A$1:$B$30,2))</f>
        <v>0</v>
      </c>
      <c r="K217" s="36"/>
      <c r="L217" s="66">
        <f>IF(M217=0,0,VLOOKUP(M217,Sheet1!$D$1:$E$30,2))</f>
        <v>0</v>
      </c>
      <c r="M217" s="36"/>
    </row>
    <row r="218" spans="1:13" ht="13.5">
      <c r="A218" s="36"/>
      <c r="B218" s="36"/>
      <c r="C218" s="36"/>
      <c r="D218" s="36"/>
      <c r="E218" s="26"/>
      <c r="F218" s="38"/>
      <c r="G218" s="38"/>
      <c r="H218" s="39">
        <f>IF(F218="",IF(G218="","",SUM($F$2:F218)-SUM($G$2:G218)),SUM($F$2:F218)-SUM($G$2:G218))</f>
      </c>
      <c r="I218" s="36"/>
      <c r="J218" s="40">
        <f>IF(K218=0,0,VLOOKUP(K218,Sheet1!$A$1:$B$30,2))</f>
        <v>0</v>
      </c>
      <c r="K218" s="36"/>
      <c r="L218" s="66">
        <f>IF(M218=0,0,VLOOKUP(M218,Sheet1!$D$1:$E$30,2))</f>
        <v>0</v>
      </c>
      <c r="M218" s="36"/>
    </row>
    <row r="219" spans="1:13" ht="13.5">
      <c r="A219" s="36"/>
      <c r="B219" s="36"/>
      <c r="C219" s="36"/>
      <c r="D219" s="36"/>
      <c r="E219" s="26"/>
      <c r="F219" s="38"/>
      <c r="G219" s="38"/>
      <c r="H219" s="39">
        <f>IF(F219="",IF(G219="","",SUM($F$2:F219)-SUM($G$2:G219)),SUM($F$2:F219)-SUM($G$2:G219))</f>
      </c>
      <c r="I219" s="36"/>
      <c r="J219" s="40">
        <f>IF(K219=0,0,VLOOKUP(K219,Sheet1!$A$1:$B$30,2))</f>
        <v>0</v>
      </c>
      <c r="K219" s="36"/>
      <c r="L219" s="66">
        <f>IF(M219=0,0,VLOOKUP(M219,Sheet1!$D$1:$E$30,2))</f>
        <v>0</v>
      </c>
      <c r="M219" s="36"/>
    </row>
    <row r="220" spans="1:13" ht="13.5">
      <c r="A220" s="36"/>
      <c r="B220" s="36"/>
      <c r="C220" s="36"/>
      <c r="D220" s="36"/>
      <c r="E220" s="26"/>
      <c r="F220" s="38"/>
      <c r="G220" s="38"/>
      <c r="H220" s="39">
        <f>IF(F220="",IF(G220="","",SUM($F$2:F220)-SUM($G$2:G220)),SUM($F$2:F220)-SUM($G$2:G220))</f>
      </c>
      <c r="I220" s="36"/>
      <c r="J220" s="40">
        <f>IF(K220=0,0,VLOOKUP(K220,Sheet1!$A$1:$B$30,2))</f>
        <v>0</v>
      </c>
      <c r="K220" s="36"/>
      <c r="L220" s="66">
        <f>IF(M220=0,0,VLOOKUP(M220,Sheet1!$D$1:$E$30,2))</f>
        <v>0</v>
      </c>
      <c r="M220" s="36"/>
    </row>
    <row r="221" spans="1:13" ht="13.5">
      <c r="A221" s="36"/>
      <c r="B221" s="36"/>
      <c r="C221" s="36"/>
      <c r="D221" s="36"/>
      <c r="E221" s="26"/>
      <c r="F221" s="38"/>
      <c r="G221" s="38"/>
      <c r="H221" s="39">
        <f>IF(F221="",IF(G221="","",SUM($F$2:F221)-SUM($G$2:G221)),SUM($F$2:F221)-SUM($G$2:G221))</f>
      </c>
      <c r="I221" s="36"/>
      <c r="J221" s="40">
        <f>IF(K221=0,0,VLOOKUP(K221,Sheet1!$A$1:$B$30,2))</f>
        <v>0</v>
      </c>
      <c r="K221" s="36"/>
      <c r="L221" s="66">
        <f>IF(M221=0,0,VLOOKUP(M221,Sheet1!$D$1:$E$30,2))</f>
        <v>0</v>
      </c>
      <c r="M221" s="36"/>
    </row>
    <row r="222" spans="1:13" ht="13.5">
      <c r="A222" s="36"/>
      <c r="B222" s="36"/>
      <c r="C222" s="36"/>
      <c r="D222" s="36"/>
      <c r="E222" s="26"/>
      <c r="F222" s="38"/>
      <c r="G222" s="38"/>
      <c r="H222" s="39">
        <f>IF(F222="",IF(G222="","",SUM($F$2:F222)-SUM($G$2:G222)),SUM($F$2:F222)-SUM($G$2:G222))</f>
      </c>
      <c r="I222" s="36"/>
      <c r="J222" s="40">
        <f>IF(K222=0,0,VLOOKUP(K222,Sheet1!$A$1:$B$30,2))</f>
        <v>0</v>
      </c>
      <c r="K222" s="36"/>
      <c r="L222" s="66">
        <f>IF(M222=0,0,VLOOKUP(M222,Sheet1!$D$1:$E$30,2))</f>
        <v>0</v>
      </c>
      <c r="M222" s="36"/>
    </row>
    <row r="223" spans="1:13" ht="13.5">
      <c r="A223" s="36"/>
      <c r="B223" s="36"/>
      <c r="C223" s="36"/>
      <c r="D223" s="36"/>
      <c r="E223" s="26"/>
      <c r="F223" s="38"/>
      <c r="G223" s="38"/>
      <c r="H223" s="39">
        <f>IF(F223="",IF(G223="","",SUM($F$2:F223)-SUM($G$2:G223)),SUM($F$2:F223)-SUM($G$2:G223))</f>
      </c>
      <c r="I223" s="36"/>
      <c r="J223" s="40">
        <f>IF(K223=0,0,VLOOKUP(K223,Sheet1!$A$1:$B$30,2))</f>
        <v>0</v>
      </c>
      <c r="K223" s="36"/>
      <c r="L223" s="66">
        <f>IF(M223=0,0,VLOOKUP(M223,Sheet1!$D$1:$E$30,2))</f>
        <v>0</v>
      </c>
      <c r="M223" s="36"/>
    </row>
    <row r="224" spans="1:13" ht="13.5">
      <c r="A224" s="36"/>
      <c r="B224" s="36"/>
      <c r="C224" s="36"/>
      <c r="D224" s="36"/>
      <c r="E224" s="26"/>
      <c r="F224" s="38"/>
      <c r="G224" s="38"/>
      <c r="H224" s="39">
        <f>IF(F224="",IF(G224="","",SUM($F$2:F224)-SUM($G$2:G224)),SUM($F$2:F224)-SUM($G$2:G224))</f>
      </c>
      <c r="I224" s="36"/>
      <c r="J224" s="40">
        <f>IF(K224=0,0,VLOOKUP(K224,Sheet1!$A$1:$B$30,2))</f>
        <v>0</v>
      </c>
      <c r="K224" s="36"/>
      <c r="L224" s="66">
        <f>IF(M224=0,0,VLOOKUP(M224,Sheet1!$D$1:$E$30,2))</f>
        <v>0</v>
      </c>
      <c r="M224" s="36"/>
    </row>
    <row r="225" spans="1:13" ht="13.5">
      <c r="A225" s="36"/>
      <c r="B225" s="36"/>
      <c r="C225" s="36"/>
      <c r="D225" s="36"/>
      <c r="E225" s="26"/>
      <c r="F225" s="38"/>
      <c r="G225" s="38"/>
      <c r="H225" s="39">
        <f>IF(F225="",IF(G225="","",SUM($F$2:F225)-SUM($G$2:G225)),SUM($F$2:F225)-SUM($G$2:G225))</f>
      </c>
      <c r="I225" s="36"/>
      <c r="J225" s="40">
        <f>IF(K225=0,0,VLOOKUP(K225,Sheet1!$A$1:$B$30,2))</f>
        <v>0</v>
      </c>
      <c r="K225" s="36"/>
      <c r="L225" s="66">
        <f>IF(M225=0,0,VLOOKUP(M225,Sheet1!$D$1:$E$30,2))</f>
        <v>0</v>
      </c>
      <c r="M225" s="36"/>
    </row>
    <row r="226" spans="1:13" ht="13.5">
      <c r="A226" s="36"/>
      <c r="B226" s="36"/>
      <c r="C226" s="36"/>
      <c r="D226" s="36"/>
      <c r="E226" s="26"/>
      <c r="F226" s="38"/>
      <c r="G226" s="38"/>
      <c r="H226" s="39">
        <f>IF(F226="",IF(G226="","",SUM($F$2:F226)-SUM($G$2:G226)),SUM($F$2:F226)-SUM($G$2:G226))</f>
      </c>
      <c r="I226" s="36"/>
      <c r="J226" s="40">
        <f>IF(K226=0,0,VLOOKUP(K226,Sheet1!$A$1:$B$30,2))</f>
        <v>0</v>
      </c>
      <c r="K226" s="36"/>
      <c r="L226" s="66">
        <f>IF(M226=0,0,VLOOKUP(M226,Sheet1!$D$1:$E$30,2))</f>
        <v>0</v>
      </c>
      <c r="M226" s="36"/>
    </row>
    <row r="227" spans="1:13" ht="13.5">
      <c r="A227" s="36"/>
      <c r="B227" s="36"/>
      <c r="C227" s="36"/>
      <c r="D227" s="36"/>
      <c r="E227" s="26"/>
      <c r="F227" s="38"/>
      <c r="G227" s="38"/>
      <c r="H227" s="39">
        <f>IF(F227="",IF(G227="","",SUM($F$2:F227)-SUM($G$2:G227)),SUM($F$2:F227)-SUM($G$2:G227))</f>
      </c>
      <c r="I227" s="36"/>
      <c r="J227" s="40">
        <f>IF(K227=0,0,VLOOKUP(K227,Sheet1!$A$1:$B$30,2))</f>
        <v>0</v>
      </c>
      <c r="K227" s="36"/>
      <c r="L227" s="66">
        <f>IF(M227=0,0,VLOOKUP(M227,Sheet1!$D$1:$E$30,2))</f>
        <v>0</v>
      </c>
      <c r="M227" s="36"/>
    </row>
    <row r="228" spans="1:13" ht="13.5">
      <c r="A228" s="36"/>
      <c r="B228" s="36"/>
      <c r="C228" s="36"/>
      <c r="D228" s="36"/>
      <c r="E228" s="26"/>
      <c r="F228" s="38"/>
      <c r="G228" s="38"/>
      <c r="H228" s="39">
        <f>IF(F228="",IF(G228="","",SUM($F$2:F228)-SUM($G$2:G228)),SUM($F$2:F228)-SUM($G$2:G228))</f>
      </c>
      <c r="I228" s="36"/>
      <c r="J228" s="40">
        <f>IF(K228=0,0,VLOOKUP(K228,Sheet1!$A$1:$B$30,2))</f>
        <v>0</v>
      </c>
      <c r="K228" s="36"/>
      <c r="L228" s="66">
        <f>IF(M228=0,0,VLOOKUP(M228,Sheet1!$D$1:$E$30,2))</f>
        <v>0</v>
      </c>
      <c r="M228" s="36"/>
    </row>
    <row r="229" spans="1:13" ht="13.5">
      <c r="A229" s="36"/>
      <c r="B229" s="36"/>
      <c r="C229" s="36"/>
      <c r="D229" s="36"/>
      <c r="E229" s="26"/>
      <c r="F229" s="38"/>
      <c r="G229" s="38"/>
      <c r="H229" s="39">
        <f>IF(F229="",IF(G229="","",SUM($F$2:F229)-SUM($G$2:G229)),SUM($F$2:F229)-SUM($G$2:G229))</f>
      </c>
      <c r="I229" s="36"/>
      <c r="J229" s="40">
        <f>IF(K229=0,0,VLOOKUP(K229,Sheet1!$A$1:$B$30,2))</f>
        <v>0</v>
      </c>
      <c r="K229" s="36"/>
      <c r="L229" s="66">
        <f>IF(M229=0,0,VLOOKUP(M229,Sheet1!$D$1:$E$30,2))</f>
        <v>0</v>
      </c>
      <c r="M229" s="36"/>
    </row>
    <row r="230" spans="1:13" ht="13.5">
      <c r="A230" s="36"/>
      <c r="B230" s="36"/>
      <c r="C230" s="36"/>
      <c r="D230" s="36"/>
      <c r="E230" s="26"/>
      <c r="F230" s="38"/>
      <c r="G230" s="38"/>
      <c r="H230" s="39">
        <f>IF(F230="",IF(G230="","",SUM($F$2:F230)-SUM($G$2:G230)),SUM($F$2:F230)-SUM($G$2:G230))</f>
      </c>
      <c r="I230" s="36"/>
      <c r="J230" s="40">
        <f>IF(K230=0,0,VLOOKUP(K230,Sheet1!$A$1:$B$30,2))</f>
        <v>0</v>
      </c>
      <c r="K230" s="36"/>
      <c r="L230" s="66">
        <f>IF(M230=0,0,VLOOKUP(M230,Sheet1!$D$1:$E$30,2))</f>
        <v>0</v>
      </c>
      <c r="M230" s="36"/>
    </row>
    <row r="231" spans="1:13" ht="13.5">
      <c r="A231" s="36"/>
      <c r="B231" s="36"/>
      <c r="C231" s="36"/>
      <c r="D231" s="36"/>
      <c r="E231" s="26"/>
      <c r="F231" s="38"/>
      <c r="G231" s="38"/>
      <c r="H231" s="39">
        <f>IF(F231="",IF(G231="","",SUM($F$2:F231)-SUM($G$2:G231)),SUM($F$2:F231)-SUM($G$2:G231))</f>
      </c>
      <c r="I231" s="36"/>
      <c r="J231" s="40">
        <f>IF(K231=0,0,VLOOKUP(K231,Sheet1!$A$1:$B$30,2))</f>
        <v>0</v>
      </c>
      <c r="K231" s="36"/>
      <c r="L231" s="66">
        <f>IF(M231=0,0,VLOOKUP(M231,Sheet1!$D$1:$E$30,2))</f>
        <v>0</v>
      </c>
      <c r="M231" s="36"/>
    </row>
    <row r="232" spans="1:13" ht="13.5">
      <c r="A232" s="36"/>
      <c r="B232" s="36"/>
      <c r="C232" s="36"/>
      <c r="D232" s="36"/>
      <c r="E232" s="26"/>
      <c r="F232" s="38"/>
      <c r="G232" s="38"/>
      <c r="H232" s="39">
        <f>IF(F232="",IF(G232="","",SUM($F$2:F232)-SUM($G$2:G232)),SUM($F$2:F232)-SUM($G$2:G232))</f>
      </c>
      <c r="I232" s="36"/>
      <c r="J232" s="40">
        <f>IF(K232=0,0,VLOOKUP(K232,Sheet1!$A$1:$B$30,2))</f>
        <v>0</v>
      </c>
      <c r="K232" s="36"/>
      <c r="L232" s="66">
        <f>IF(M232=0,0,VLOOKUP(M232,Sheet1!$D$1:$E$30,2))</f>
        <v>0</v>
      </c>
      <c r="M232" s="36"/>
    </row>
    <row r="233" spans="1:13" ht="13.5">
      <c r="A233" s="36"/>
      <c r="B233" s="36"/>
      <c r="C233" s="36"/>
      <c r="D233" s="36"/>
      <c r="E233" s="26"/>
      <c r="F233" s="38"/>
      <c r="G233" s="38"/>
      <c r="H233" s="39">
        <f>IF(F233="",IF(G233="","",SUM($F$2:F233)-SUM($G$2:G233)),SUM($F$2:F233)-SUM($G$2:G233))</f>
      </c>
      <c r="I233" s="36"/>
      <c r="J233" s="40">
        <f>IF(K233=0,0,VLOOKUP(K233,Sheet1!$A$1:$B$30,2))</f>
        <v>0</v>
      </c>
      <c r="K233" s="36"/>
      <c r="L233" s="66">
        <f>IF(M233=0,0,VLOOKUP(M233,Sheet1!$D$1:$E$30,2))</f>
        <v>0</v>
      </c>
      <c r="M233" s="36"/>
    </row>
    <row r="234" spans="1:13" ht="13.5">
      <c r="A234" s="36"/>
      <c r="B234" s="36"/>
      <c r="C234" s="36"/>
      <c r="D234" s="36"/>
      <c r="E234" s="26"/>
      <c r="F234" s="38"/>
      <c r="G234" s="38"/>
      <c r="H234" s="39">
        <f>IF(F234="",IF(G234="","",SUM($F$2:F234)-SUM($G$2:G234)),SUM($F$2:F234)-SUM($G$2:G234))</f>
      </c>
      <c r="I234" s="36"/>
      <c r="J234" s="40">
        <f>IF(K234=0,0,VLOOKUP(K234,Sheet1!$A$1:$B$30,2))</f>
        <v>0</v>
      </c>
      <c r="K234" s="36"/>
      <c r="L234" s="66">
        <f>IF(M234=0,0,VLOOKUP(M234,Sheet1!$D$1:$E$30,2))</f>
        <v>0</v>
      </c>
      <c r="M234" s="36"/>
    </row>
    <row r="235" spans="1:13" ht="13.5">
      <c r="A235" s="36"/>
      <c r="B235" s="36"/>
      <c r="C235" s="36"/>
      <c r="D235" s="36"/>
      <c r="E235" s="26"/>
      <c r="F235" s="38"/>
      <c r="G235" s="38"/>
      <c r="H235" s="39">
        <f>IF(F235="",IF(G235="","",SUM($F$2:F235)-SUM($G$2:G235)),SUM($F$2:F235)-SUM($G$2:G235))</f>
      </c>
      <c r="I235" s="36"/>
      <c r="J235" s="40">
        <f>IF(K235=0,0,VLOOKUP(K235,Sheet1!$A$1:$B$30,2))</f>
        <v>0</v>
      </c>
      <c r="K235" s="36"/>
      <c r="L235" s="66">
        <f>IF(M235=0,0,VLOOKUP(M235,Sheet1!$D$1:$E$30,2))</f>
        <v>0</v>
      </c>
      <c r="M235" s="36"/>
    </row>
    <row r="236" spans="1:13" ht="13.5">
      <c r="A236" s="36"/>
      <c r="B236" s="36"/>
      <c r="C236" s="36"/>
      <c r="D236" s="36"/>
      <c r="E236" s="26"/>
      <c r="F236" s="38"/>
      <c r="G236" s="38"/>
      <c r="H236" s="39">
        <f>IF(F236="",IF(G236="","",SUM($F$2:F236)-SUM($G$2:G236)),SUM($F$2:F236)-SUM($G$2:G236))</f>
      </c>
      <c r="I236" s="36"/>
      <c r="J236" s="40">
        <f>IF(K236=0,0,VLOOKUP(K236,Sheet1!$A$1:$B$30,2))</f>
        <v>0</v>
      </c>
      <c r="K236" s="36"/>
      <c r="L236" s="66">
        <f>IF(M236=0,0,VLOOKUP(M236,Sheet1!$D$1:$E$30,2))</f>
        <v>0</v>
      </c>
      <c r="M236" s="36"/>
    </row>
    <row r="237" spans="1:13" ht="13.5">
      <c r="A237" s="36"/>
      <c r="B237" s="36"/>
      <c r="C237" s="36"/>
      <c r="D237" s="36"/>
      <c r="E237" s="26"/>
      <c r="F237" s="38"/>
      <c r="G237" s="38"/>
      <c r="H237" s="39">
        <f>IF(F237="",IF(G237="","",SUM($F$2:F237)-SUM($G$2:G237)),SUM($F$2:F237)-SUM($G$2:G237))</f>
      </c>
      <c r="I237" s="36"/>
      <c r="J237" s="40">
        <f>IF(K237=0,0,VLOOKUP(K237,Sheet1!$A$1:$B$30,2))</f>
        <v>0</v>
      </c>
      <c r="K237" s="36"/>
      <c r="L237" s="66">
        <f>IF(M237=0,0,VLOOKUP(M237,Sheet1!$D$1:$E$30,2))</f>
        <v>0</v>
      </c>
      <c r="M237" s="36"/>
    </row>
    <row r="238" spans="1:13" ht="13.5">
      <c r="A238" s="36"/>
      <c r="B238" s="36"/>
      <c r="C238" s="36"/>
      <c r="D238" s="36"/>
      <c r="E238" s="26"/>
      <c r="F238" s="38"/>
      <c r="G238" s="38"/>
      <c r="H238" s="39">
        <f>IF(F238="",IF(G238="","",SUM($F$2:F238)-SUM($G$2:G238)),SUM($F$2:F238)-SUM($G$2:G238))</f>
      </c>
      <c r="I238" s="36"/>
      <c r="J238" s="40">
        <f>IF(K238=0,0,VLOOKUP(K238,Sheet1!$A$1:$B$30,2))</f>
        <v>0</v>
      </c>
      <c r="K238" s="36"/>
      <c r="L238" s="66">
        <f>IF(M238=0,0,VLOOKUP(M238,Sheet1!$D$1:$E$30,2))</f>
        <v>0</v>
      </c>
      <c r="M238" s="36"/>
    </row>
    <row r="239" spans="1:13" ht="13.5">
      <c r="A239" s="36"/>
      <c r="B239" s="36"/>
      <c r="C239" s="36"/>
      <c r="D239" s="36"/>
      <c r="E239" s="26"/>
      <c r="F239" s="38"/>
      <c r="G239" s="38"/>
      <c r="H239" s="39">
        <f>IF(F239="",IF(G239="","",SUM($F$2:F239)-SUM($G$2:G239)),SUM($F$2:F239)-SUM($G$2:G239))</f>
      </c>
      <c r="I239" s="36"/>
      <c r="J239" s="40">
        <f>IF(K239=0,0,VLOOKUP(K239,Sheet1!$A$1:$B$30,2))</f>
        <v>0</v>
      </c>
      <c r="K239" s="36"/>
      <c r="L239" s="66">
        <f>IF(M239=0,0,VLOOKUP(M239,Sheet1!$D$1:$E$30,2))</f>
        <v>0</v>
      </c>
      <c r="M239" s="36"/>
    </row>
    <row r="240" spans="1:13" ht="13.5">
      <c r="A240" s="36"/>
      <c r="B240" s="36"/>
      <c r="C240" s="36"/>
      <c r="D240" s="36"/>
      <c r="E240" s="26"/>
      <c r="F240" s="38"/>
      <c r="G240" s="38"/>
      <c r="H240" s="39">
        <f>IF(F240="",IF(G240="","",SUM($F$2:F240)-SUM($G$2:G240)),SUM($F$2:F240)-SUM($G$2:G240))</f>
      </c>
      <c r="I240" s="36"/>
      <c r="J240" s="40">
        <f>IF(K240=0,0,VLOOKUP(K240,Sheet1!$A$1:$B$30,2))</f>
        <v>0</v>
      </c>
      <c r="K240" s="36"/>
      <c r="L240" s="66">
        <f>IF(M240=0,0,VLOOKUP(M240,Sheet1!$D$1:$E$30,2))</f>
        <v>0</v>
      </c>
      <c r="M240" s="36"/>
    </row>
    <row r="241" spans="1:13" ht="13.5">
      <c r="A241" s="36"/>
      <c r="B241" s="36"/>
      <c r="C241" s="36"/>
      <c r="D241" s="36"/>
      <c r="E241" s="26"/>
      <c r="F241" s="38"/>
      <c r="G241" s="38"/>
      <c r="H241" s="39">
        <f>IF(F241="",IF(G241="","",SUM($F$2:F241)-SUM($G$2:G241)),SUM($F$2:F241)-SUM($G$2:G241))</f>
      </c>
      <c r="I241" s="36"/>
      <c r="J241" s="40">
        <f>IF(K241=0,0,VLOOKUP(K241,Sheet1!$A$1:$B$30,2))</f>
        <v>0</v>
      </c>
      <c r="K241" s="36"/>
      <c r="L241" s="66">
        <f>IF(M241=0,0,VLOOKUP(M241,Sheet1!$D$1:$E$30,2))</f>
        <v>0</v>
      </c>
      <c r="M241" s="36"/>
    </row>
    <row r="242" spans="1:13" ht="13.5">
      <c r="A242" s="36"/>
      <c r="B242" s="36"/>
      <c r="C242" s="36"/>
      <c r="D242" s="36"/>
      <c r="E242" s="26"/>
      <c r="F242" s="38"/>
      <c r="G242" s="38"/>
      <c r="H242" s="39">
        <f>IF(F242="",IF(G242="","",SUM($F$2:F242)-SUM($G$2:G242)),SUM($F$2:F242)-SUM($G$2:G242))</f>
      </c>
      <c r="I242" s="36"/>
      <c r="J242" s="40">
        <f>IF(K242=0,0,VLOOKUP(K242,Sheet1!$A$1:$B$30,2))</f>
        <v>0</v>
      </c>
      <c r="K242" s="36"/>
      <c r="L242" s="66">
        <f>IF(M242=0,0,VLOOKUP(M242,Sheet1!$D$1:$E$30,2))</f>
        <v>0</v>
      </c>
      <c r="M242" s="36"/>
    </row>
    <row r="243" spans="1:13" ht="13.5">
      <c r="A243" s="36"/>
      <c r="B243" s="36"/>
      <c r="C243" s="36"/>
      <c r="D243" s="36"/>
      <c r="E243" s="26"/>
      <c r="F243" s="38"/>
      <c r="G243" s="38"/>
      <c r="H243" s="39">
        <f>IF(F243="",IF(G243="","",SUM($F$2:F243)-SUM($G$2:G243)),SUM($F$2:F243)-SUM($G$2:G243))</f>
      </c>
      <c r="I243" s="36"/>
      <c r="J243" s="40">
        <f>IF(K243=0,0,VLOOKUP(K243,Sheet1!$A$1:$B$30,2))</f>
        <v>0</v>
      </c>
      <c r="K243" s="36"/>
      <c r="L243" s="66">
        <f>IF(M243=0,0,VLOOKUP(M243,Sheet1!$D$1:$E$30,2))</f>
        <v>0</v>
      </c>
      <c r="M243" s="36"/>
    </row>
    <row r="244" spans="1:13" ht="13.5">
      <c r="A244" s="36"/>
      <c r="B244" s="36"/>
      <c r="C244" s="36"/>
      <c r="D244" s="36"/>
      <c r="E244" s="26"/>
      <c r="F244" s="38"/>
      <c r="G244" s="38"/>
      <c r="H244" s="39">
        <f>IF(F244="",IF(G244="","",SUM($F$2:F244)-SUM($G$2:G244)),SUM($F$2:F244)-SUM($G$2:G244))</f>
      </c>
      <c r="I244" s="36"/>
      <c r="J244" s="40">
        <f>IF(K244=0,0,VLOOKUP(K244,Sheet1!$A$1:$B$30,2))</f>
        <v>0</v>
      </c>
      <c r="K244" s="36"/>
      <c r="L244" s="66">
        <f>IF(M244=0,0,VLOOKUP(M244,Sheet1!$D$1:$E$30,2))</f>
        <v>0</v>
      </c>
      <c r="M244" s="36"/>
    </row>
    <row r="245" spans="1:13" ht="13.5">
      <c r="A245" s="36"/>
      <c r="B245" s="36"/>
      <c r="C245" s="36"/>
      <c r="D245" s="36"/>
      <c r="E245" s="26"/>
      <c r="F245" s="38"/>
      <c r="G245" s="38"/>
      <c r="H245" s="39">
        <f>IF(F245="",IF(G245="","",SUM($F$2:F245)-SUM($G$2:G245)),SUM($F$2:F245)-SUM($G$2:G245))</f>
      </c>
      <c r="I245" s="36"/>
      <c r="J245" s="40">
        <f>IF(K245=0,0,VLOOKUP(K245,Sheet1!$A$1:$B$30,2))</f>
        <v>0</v>
      </c>
      <c r="K245" s="36"/>
      <c r="L245" s="66">
        <f>IF(M245=0,0,VLOOKUP(M245,Sheet1!$D$1:$E$30,2))</f>
        <v>0</v>
      </c>
      <c r="M245" s="36"/>
    </row>
    <row r="246" spans="1:13" ht="13.5">
      <c r="A246" s="36"/>
      <c r="B246" s="36"/>
      <c r="C246" s="36"/>
      <c r="D246" s="36"/>
      <c r="E246" s="26"/>
      <c r="F246" s="38"/>
      <c r="G246" s="38"/>
      <c r="H246" s="39">
        <f>IF(F246="",IF(G246="","",SUM($F$2:F246)-SUM($G$2:G246)),SUM($F$2:F246)-SUM($G$2:G246))</f>
      </c>
      <c r="I246" s="36"/>
      <c r="J246" s="40">
        <f>IF(K246=0,0,VLOOKUP(K246,Sheet1!$A$1:$B$30,2))</f>
        <v>0</v>
      </c>
      <c r="K246" s="36"/>
      <c r="L246" s="66">
        <f>IF(M246=0,0,VLOOKUP(M246,Sheet1!$D$1:$E$30,2))</f>
        <v>0</v>
      </c>
      <c r="M246" s="36"/>
    </row>
    <row r="247" spans="1:13" ht="13.5">
      <c r="A247" s="36"/>
      <c r="B247" s="36"/>
      <c r="C247" s="36"/>
      <c r="D247" s="36"/>
      <c r="E247" s="26"/>
      <c r="F247" s="38"/>
      <c r="G247" s="38"/>
      <c r="H247" s="39">
        <f>IF(F247="",IF(G247="","",SUM($F$2:F247)-SUM($G$2:G247)),SUM($F$2:F247)-SUM($G$2:G247))</f>
      </c>
      <c r="I247" s="36"/>
      <c r="J247" s="40">
        <f>IF(K247=0,0,VLOOKUP(K247,Sheet1!$A$1:$B$30,2))</f>
        <v>0</v>
      </c>
      <c r="K247" s="36"/>
      <c r="L247" s="66">
        <f>IF(M247=0,0,VLOOKUP(M247,Sheet1!$D$1:$E$30,2))</f>
        <v>0</v>
      </c>
      <c r="M247" s="36"/>
    </row>
    <row r="248" spans="1:13" ht="13.5">
      <c r="A248" s="36"/>
      <c r="B248" s="36"/>
      <c r="C248" s="36"/>
      <c r="D248" s="36"/>
      <c r="E248" s="26"/>
      <c r="F248" s="38"/>
      <c r="G248" s="38"/>
      <c r="H248" s="39">
        <f>IF(F248="",IF(G248="","",SUM($F$2:F248)-SUM($G$2:G248)),SUM($F$2:F248)-SUM($G$2:G248))</f>
      </c>
      <c r="I248" s="36"/>
      <c r="J248" s="40">
        <f>IF(K248=0,0,VLOOKUP(K248,Sheet1!$A$1:$B$30,2))</f>
        <v>0</v>
      </c>
      <c r="K248" s="36"/>
      <c r="L248" s="66">
        <f>IF(M248=0,0,VLOOKUP(M248,Sheet1!$D$1:$E$30,2))</f>
        <v>0</v>
      </c>
      <c r="M248" s="36"/>
    </row>
    <row r="249" spans="1:13" ht="13.5">
      <c r="A249" s="36"/>
      <c r="B249" s="36"/>
      <c r="C249" s="36"/>
      <c r="D249" s="36"/>
      <c r="E249" s="26"/>
      <c r="F249" s="38"/>
      <c r="G249" s="38"/>
      <c r="H249" s="39">
        <f>IF(F249="",IF(G249="","",SUM($F$2:F249)-SUM($G$2:G249)),SUM($F$2:F249)-SUM($G$2:G249))</f>
      </c>
      <c r="I249" s="36"/>
      <c r="J249" s="40">
        <f>IF(K249=0,0,VLOOKUP(K249,Sheet1!$A$1:$B$30,2))</f>
        <v>0</v>
      </c>
      <c r="K249" s="36"/>
      <c r="L249" s="66">
        <f>IF(M249=0,0,VLOOKUP(M249,Sheet1!$D$1:$E$30,2))</f>
        <v>0</v>
      </c>
      <c r="M249" s="36"/>
    </row>
    <row r="250" spans="1:13" ht="13.5">
      <c r="A250" s="36"/>
      <c r="B250" s="36"/>
      <c r="C250" s="36"/>
      <c r="D250" s="36"/>
      <c r="E250" s="26"/>
      <c r="F250" s="38"/>
      <c r="G250" s="38"/>
      <c r="H250" s="39">
        <f>IF(F250="",IF(G250="","",SUM($F$2:F250)-SUM($G$2:G250)),SUM($F$2:F250)-SUM($G$2:G250))</f>
      </c>
      <c r="I250" s="36"/>
      <c r="J250" s="40">
        <f>IF(K250=0,0,VLOOKUP(K250,Sheet1!$A$1:$B$30,2))</f>
        <v>0</v>
      </c>
      <c r="K250" s="36"/>
      <c r="L250" s="66">
        <f>IF(M250=0,0,VLOOKUP(M250,Sheet1!$D$1:$E$30,2))</f>
        <v>0</v>
      </c>
      <c r="M250" s="36"/>
    </row>
    <row r="251" spans="1:13" ht="13.5">
      <c r="A251" s="36"/>
      <c r="B251" s="36"/>
      <c r="C251" s="36"/>
      <c r="D251" s="36"/>
      <c r="E251" s="26"/>
      <c r="F251" s="38"/>
      <c r="G251" s="38"/>
      <c r="H251" s="39">
        <f>IF(F251="",IF(G251="","",SUM($F$2:F251)-SUM($G$2:G251)),SUM($F$2:F251)-SUM($G$2:G251))</f>
      </c>
      <c r="I251" s="36"/>
      <c r="J251" s="40">
        <f>IF(K251=0,0,VLOOKUP(K251,Sheet1!$A$1:$B$30,2))</f>
        <v>0</v>
      </c>
      <c r="K251" s="36"/>
      <c r="L251" s="66">
        <f>IF(M251=0,0,VLOOKUP(M251,Sheet1!$D$1:$E$30,2))</f>
        <v>0</v>
      </c>
      <c r="M251" s="36"/>
    </row>
    <row r="252" spans="1:13" ht="13.5">
      <c r="A252" s="36"/>
      <c r="B252" s="36"/>
      <c r="C252" s="36"/>
      <c r="D252" s="36"/>
      <c r="E252" s="26"/>
      <c r="F252" s="38"/>
      <c r="G252" s="38"/>
      <c r="H252" s="39">
        <f>IF(F252="",IF(G252="","",SUM($F$2:F252)-SUM($G$2:G252)),SUM($F$2:F252)-SUM($G$2:G252))</f>
      </c>
      <c r="I252" s="36"/>
      <c r="J252" s="40">
        <f>IF(K252=0,0,VLOOKUP(K252,Sheet1!$A$1:$B$30,2))</f>
        <v>0</v>
      </c>
      <c r="K252" s="36"/>
      <c r="L252" s="66">
        <f>IF(M252=0,0,VLOOKUP(M252,Sheet1!$D$1:$E$30,2))</f>
        <v>0</v>
      </c>
      <c r="M252" s="36"/>
    </row>
    <row r="253" spans="1:13" ht="13.5">
      <c r="A253" s="36"/>
      <c r="B253" s="36"/>
      <c r="C253" s="36"/>
      <c r="D253" s="36"/>
      <c r="E253" s="26"/>
      <c r="F253" s="38"/>
      <c r="G253" s="38"/>
      <c r="H253" s="39">
        <f>IF(F253="",IF(G253="","",SUM($F$2:F253)-SUM($G$2:G253)),SUM($F$2:F253)-SUM($G$2:G253))</f>
      </c>
      <c r="I253" s="36"/>
      <c r="J253" s="40">
        <f>IF(K253=0,0,VLOOKUP(K253,Sheet1!$A$1:$B$30,2))</f>
        <v>0</v>
      </c>
      <c r="K253" s="36"/>
      <c r="L253" s="66">
        <f>IF(M253=0,0,VLOOKUP(M253,Sheet1!$D$1:$E$30,2))</f>
        <v>0</v>
      </c>
      <c r="M253" s="36"/>
    </row>
    <row r="254" spans="1:13" ht="13.5">
      <c r="A254" s="36"/>
      <c r="B254" s="36"/>
      <c r="C254" s="36"/>
      <c r="D254" s="36"/>
      <c r="E254" s="26"/>
      <c r="F254" s="38"/>
      <c r="G254" s="38"/>
      <c r="H254" s="39">
        <f>IF(F254="",IF(G254="","",SUM($F$2:F254)-SUM($G$2:G254)),SUM($F$2:F254)-SUM($G$2:G254))</f>
      </c>
      <c r="I254" s="36"/>
      <c r="J254" s="40">
        <f>IF(K254=0,0,VLOOKUP(K254,Sheet1!$A$1:$B$30,2))</f>
        <v>0</v>
      </c>
      <c r="K254" s="36"/>
      <c r="L254" s="66">
        <f>IF(M254=0,0,VLOOKUP(M254,Sheet1!$D$1:$E$30,2))</f>
        <v>0</v>
      </c>
      <c r="M254" s="36"/>
    </row>
    <row r="255" spans="1:13" ht="13.5">
      <c r="A255" s="36"/>
      <c r="B255" s="36"/>
      <c r="C255" s="36"/>
      <c r="D255" s="36"/>
      <c r="E255" s="26"/>
      <c r="F255" s="38"/>
      <c r="G255" s="38"/>
      <c r="H255" s="39">
        <f>IF(F255="",IF(G255="","",SUM($F$2:F255)-SUM($G$2:G255)),SUM($F$2:F255)-SUM($G$2:G255))</f>
      </c>
      <c r="I255" s="36"/>
      <c r="J255" s="40">
        <f>IF(K255=0,0,VLOOKUP(K255,Sheet1!$A$1:$B$30,2))</f>
        <v>0</v>
      </c>
      <c r="K255" s="36"/>
      <c r="L255" s="66">
        <f>IF(M255=0,0,VLOOKUP(M255,Sheet1!$D$1:$E$30,2))</f>
        <v>0</v>
      </c>
      <c r="M255" s="36"/>
    </row>
    <row r="256" spans="1:13" ht="13.5">
      <c r="A256" s="36"/>
      <c r="B256" s="36"/>
      <c r="C256" s="36"/>
      <c r="D256" s="36"/>
      <c r="E256" s="26"/>
      <c r="F256" s="38"/>
      <c r="G256" s="38"/>
      <c r="H256" s="39">
        <f>IF(F256="",IF(G256="","",SUM($F$2:F256)-SUM($G$2:G256)),SUM($F$2:F256)-SUM($G$2:G256))</f>
      </c>
      <c r="I256" s="36"/>
      <c r="J256" s="40">
        <f>IF(K256=0,0,VLOOKUP(K256,Sheet1!$A$1:$B$30,2))</f>
        <v>0</v>
      </c>
      <c r="K256" s="36"/>
      <c r="L256" s="66">
        <f>IF(M256=0,0,VLOOKUP(M256,Sheet1!$D$1:$E$30,2))</f>
        <v>0</v>
      </c>
      <c r="M256" s="36"/>
    </row>
    <row r="257" spans="1:13" ht="13.5">
      <c r="A257" s="36"/>
      <c r="B257" s="36"/>
      <c r="C257" s="36"/>
      <c r="D257" s="36"/>
      <c r="E257" s="26"/>
      <c r="F257" s="38"/>
      <c r="G257" s="38"/>
      <c r="H257" s="39">
        <f>IF(F257="",IF(G257="","",SUM($F$2:F257)-SUM($G$2:G257)),SUM($F$2:F257)-SUM($G$2:G257))</f>
      </c>
      <c r="I257" s="36"/>
      <c r="J257" s="40">
        <f>IF(K257=0,0,VLOOKUP(K257,Sheet1!$A$1:$B$30,2))</f>
        <v>0</v>
      </c>
      <c r="K257" s="36"/>
      <c r="L257" s="66">
        <f>IF(M257=0,0,VLOOKUP(M257,Sheet1!$D$1:$E$30,2))</f>
        <v>0</v>
      </c>
      <c r="M257" s="36"/>
    </row>
    <row r="258" spans="1:13" ht="13.5">
      <c r="A258" s="36"/>
      <c r="B258" s="36"/>
      <c r="C258" s="36"/>
      <c r="D258" s="36"/>
      <c r="E258" s="26"/>
      <c r="F258" s="38"/>
      <c r="G258" s="38"/>
      <c r="H258" s="39">
        <f>IF(F258="",IF(G258="","",SUM($F$2:F258)-SUM($G$2:G258)),SUM($F$2:F258)-SUM($G$2:G258))</f>
      </c>
      <c r="I258" s="36"/>
      <c r="J258" s="40">
        <f>IF(K258=0,0,VLOOKUP(K258,Sheet1!$A$1:$B$30,2))</f>
        <v>0</v>
      </c>
      <c r="K258" s="36"/>
      <c r="L258" s="66">
        <f>IF(M258=0,0,VLOOKUP(M258,Sheet1!$D$1:$E$30,2))</f>
        <v>0</v>
      </c>
      <c r="M258" s="36"/>
    </row>
    <row r="259" spans="1:13" ht="13.5">
      <c r="A259" s="36"/>
      <c r="B259" s="36"/>
      <c r="C259" s="36"/>
      <c r="D259" s="36"/>
      <c r="E259" s="26"/>
      <c r="F259" s="38"/>
      <c r="G259" s="38"/>
      <c r="H259" s="39">
        <f>IF(F259="",IF(G259="","",SUM($F$2:F259)-SUM($G$2:G259)),SUM($F$2:F259)-SUM($G$2:G259))</f>
      </c>
      <c r="I259" s="36"/>
      <c r="J259" s="40">
        <f>IF(K259=0,0,VLOOKUP(K259,Sheet1!$A$1:$B$30,2))</f>
        <v>0</v>
      </c>
      <c r="K259" s="36"/>
      <c r="L259" s="66">
        <f>IF(M259=0,0,VLOOKUP(M259,Sheet1!$D$1:$E$30,2))</f>
        <v>0</v>
      </c>
      <c r="M259" s="36"/>
    </row>
    <row r="260" spans="1:13" ht="13.5">
      <c r="A260" s="36"/>
      <c r="B260" s="36"/>
      <c r="C260" s="36"/>
      <c r="D260" s="36"/>
      <c r="E260" s="26"/>
      <c r="F260" s="38"/>
      <c r="G260" s="38"/>
      <c r="H260" s="39">
        <f>IF(F260="",IF(G260="","",SUM($F$2:F260)-SUM($G$2:G260)),SUM($F$2:F260)-SUM($G$2:G260))</f>
      </c>
      <c r="I260" s="36"/>
      <c r="J260" s="40">
        <f>IF(K260=0,0,VLOOKUP(K260,Sheet1!$A$1:$B$30,2))</f>
        <v>0</v>
      </c>
      <c r="K260" s="36"/>
      <c r="L260" s="66">
        <f>IF(M260=0,0,VLOOKUP(M260,Sheet1!$D$1:$E$30,2))</f>
        <v>0</v>
      </c>
      <c r="M260" s="36"/>
    </row>
    <row r="261" spans="1:13" ht="13.5">
      <c r="A261" s="36"/>
      <c r="B261" s="36"/>
      <c r="C261" s="36"/>
      <c r="D261" s="36"/>
      <c r="E261" s="26"/>
      <c r="F261" s="38"/>
      <c r="G261" s="38"/>
      <c r="H261" s="39">
        <f>IF(F261="",IF(G261="","",SUM($F$2:F261)-SUM($G$2:G261)),SUM($F$2:F261)-SUM($G$2:G261))</f>
      </c>
      <c r="I261" s="36"/>
      <c r="J261" s="40">
        <f>IF(K261=0,0,VLOOKUP(K261,Sheet1!$A$1:$B$30,2))</f>
        <v>0</v>
      </c>
      <c r="K261" s="36"/>
      <c r="L261" s="66">
        <f>IF(M261=0,0,VLOOKUP(M261,Sheet1!$D$1:$E$30,2))</f>
        <v>0</v>
      </c>
      <c r="M261" s="36"/>
    </row>
    <row r="262" spans="1:13" ht="13.5">
      <c r="A262" s="36"/>
      <c r="B262" s="36"/>
      <c r="C262" s="36"/>
      <c r="D262" s="36"/>
      <c r="E262" s="26"/>
      <c r="F262" s="38"/>
      <c r="G262" s="38"/>
      <c r="H262" s="39">
        <f>IF(F262="",IF(G262="","",SUM($F$2:F262)-SUM($G$2:G262)),SUM($F$2:F262)-SUM($G$2:G262))</f>
      </c>
      <c r="I262" s="36"/>
      <c r="J262" s="40">
        <f>IF(K262=0,0,VLOOKUP(K262,Sheet1!$A$1:$B$30,2))</f>
        <v>0</v>
      </c>
      <c r="K262" s="36"/>
      <c r="L262" s="66">
        <f>IF(M262=0,0,VLOOKUP(M262,Sheet1!$D$1:$E$30,2))</f>
        <v>0</v>
      </c>
      <c r="M262" s="36"/>
    </row>
    <row r="263" spans="1:13" ht="13.5">
      <c r="A263" s="36"/>
      <c r="B263" s="36"/>
      <c r="C263" s="36"/>
      <c r="D263" s="36"/>
      <c r="E263" s="26"/>
      <c r="F263" s="38"/>
      <c r="G263" s="38"/>
      <c r="H263" s="39">
        <f>IF(F263="",IF(G263="","",SUM($F$2:F263)-SUM($G$2:G263)),SUM($F$2:F263)-SUM($G$2:G263))</f>
      </c>
      <c r="I263" s="36"/>
      <c r="J263" s="40">
        <f>IF(K263=0,0,VLOOKUP(K263,Sheet1!$A$1:$B$30,2))</f>
        <v>0</v>
      </c>
      <c r="K263" s="36"/>
      <c r="L263" s="66">
        <f>IF(M263=0,0,VLOOKUP(M263,Sheet1!$D$1:$E$30,2))</f>
        <v>0</v>
      </c>
      <c r="M263" s="36"/>
    </row>
    <row r="264" spans="1:13" ht="13.5">
      <c r="A264" s="36"/>
      <c r="B264" s="36"/>
      <c r="C264" s="36"/>
      <c r="D264" s="36"/>
      <c r="E264" s="26"/>
      <c r="F264" s="38"/>
      <c r="G264" s="38"/>
      <c r="H264" s="39">
        <f>IF(F264="",IF(G264="","",SUM($F$2:F264)-SUM($G$2:G264)),SUM($F$2:F264)-SUM($G$2:G264))</f>
      </c>
      <c r="I264" s="36"/>
      <c r="J264" s="40">
        <f>IF(K264=0,0,VLOOKUP(K264,Sheet1!$A$1:$B$30,2))</f>
        <v>0</v>
      </c>
      <c r="K264" s="36"/>
      <c r="L264" s="66">
        <f>IF(M264=0,0,VLOOKUP(M264,Sheet1!$D$1:$E$30,2))</f>
        <v>0</v>
      </c>
      <c r="M264" s="36"/>
    </row>
    <row r="265" spans="1:13" ht="13.5">
      <c r="A265" s="36"/>
      <c r="B265" s="36"/>
      <c r="C265" s="36"/>
      <c r="D265" s="36"/>
      <c r="E265" s="26"/>
      <c r="F265" s="38"/>
      <c r="G265" s="38"/>
      <c r="H265" s="39">
        <f>IF(F265="",IF(G265="","",SUM($F$2:F265)-SUM($G$2:G265)),SUM($F$2:F265)-SUM($G$2:G265))</f>
      </c>
      <c r="I265" s="36"/>
      <c r="J265" s="40">
        <f>IF(K265=0,0,VLOOKUP(K265,Sheet1!$A$1:$B$30,2))</f>
        <v>0</v>
      </c>
      <c r="K265" s="36"/>
      <c r="L265" s="66">
        <f>IF(M265=0,0,VLOOKUP(M265,Sheet1!$D$1:$E$30,2))</f>
        <v>0</v>
      </c>
      <c r="M265" s="36"/>
    </row>
    <row r="266" spans="1:13" ht="13.5">
      <c r="A266" s="36"/>
      <c r="B266" s="36"/>
      <c r="C266" s="36"/>
      <c r="D266" s="36"/>
      <c r="E266" s="26"/>
      <c r="F266" s="38"/>
      <c r="G266" s="38"/>
      <c r="H266" s="39">
        <f>IF(F266="",IF(G266="","",SUM($F$2:F266)-SUM($G$2:G266)),SUM($F$2:F266)-SUM($G$2:G266))</f>
      </c>
      <c r="I266" s="36"/>
      <c r="J266" s="40">
        <f>IF(K266=0,0,VLOOKUP(K266,Sheet1!$A$1:$B$30,2))</f>
        <v>0</v>
      </c>
      <c r="K266" s="36"/>
      <c r="L266" s="66">
        <f>IF(M266=0,0,VLOOKUP(M266,Sheet1!$D$1:$E$30,2))</f>
        <v>0</v>
      </c>
      <c r="M266" s="36"/>
    </row>
    <row r="267" spans="1:13" ht="13.5">
      <c r="A267" s="36"/>
      <c r="B267" s="36"/>
      <c r="C267" s="36"/>
      <c r="D267" s="36"/>
      <c r="E267" s="26"/>
      <c r="F267" s="38"/>
      <c r="G267" s="38"/>
      <c r="H267" s="39">
        <f>IF(F267="",IF(G267="","",SUM($F$2:F267)-SUM($G$2:G267)),SUM($F$2:F267)-SUM($G$2:G267))</f>
      </c>
      <c r="I267" s="36"/>
      <c r="J267" s="40">
        <f>IF(K267=0,0,VLOOKUP(K267,Sheet1!$A$1:$B$30,2))</f>
        <v>0</v>
      </c>
      <c r="K267" s="36"/>
      <c r="L267" s="66">
        <f>IF(M267=0,0,VLOOKUP(M267,Sheet1!$D$1:$E$30,2))</f>
        <v>0</v>
      </c>
      <c r="M267" s="36"/>
    </row>
    <row r="268" spans="1:13" ht="13.5">
      <c r="A268" s="36"/>
      <c r="B268" s="36"/>
      <c r="C268" s="36"/>
      <c r="D268" s="36"/>
      <c r="E268" s="26"/>
      <c r="F268" s="38"/>
      <c r="G268" s="38"/>
      <c r="H268" s="39">
        <f>IF(F268="",IF(G268="","",SUM($F$2:F268)-SUM($G$2:G268)),SUM($F$2:F268)-SUM($G$2:G268))</f>
      </c>
      <c r="I268" s="36"/>
      <c r="J268" s="40">
        <f>IF(K268=0,0,VLOOKUP(K268,Sheet1!$A$1:$B$30,2))</f>
        <v>0</v>
      </c>
      <c r="K268" s="36"/>
      <c r="L268" s="66">
        <f>IF(M268=0,0,VLOOKUP(M268,Sheet1!$D$1:$E$30,2))</f>
        <v>0</v>
      </c>
      <c r="M268" s="36"/>
    </row>
    <row r="269" spans="1:13" ht="13.5">
      <c r="A269" s="36"/>
      <c r="B269" s="36"/>
      <c r="C269" s="36"/>
      <c r="D269" s="36"/>
      <c r="E269" s="26"/>
      <c r="F269" s="38"/>
      <c r="G269" s="38"/>
      <c r="H269" s="39">
        <f>IF(F269="",IF(G269="","",SUM($F$2:F269)-SUM($G$2:G269)),SUM($F$2:F269)-SUM($G$2:G269))</f>
      </c>
      <c r="I269" s="36"/>
      <c r="J269" s="40">
        <f>IF(K269=0,0,VLOOKUP(K269,Sheet1!$A$1:$B$30,2))</f>
        <v>0</v>
      </c>
      <c r="K269" s="36"/>
      <c r="L269" s="66">
        <f>IF(M269=0,0,VLOOKUP(M269,Sheet1!$D$1:$E$30,2))</f>
        <v>0</v>
      </c>
      <c r="M269" s="36"/>
    </row>
    <row r="270" spans="1:13" ht="13.5">
      <c r="A270" s="36"/>
      <c r="B270" s="36"/>
      <c r="C270" s="36"/>
      <c r="D270" s="36"/>
      <c r="E270" s="26"/>
      <c r="F270" s="38"/>
      <c r="G270" s="38"/>
      <c r="H270" s="39">
        <f>IF(F270="",IF(G270="","",SUM($F$2:F270)-SUM($G$2:G270)),SUM($F$2:F270)-SUM($G$2:G270))</f>
      </c>
      <c r="I270" s="36"/>
      <c r="J270" s="40">
        <f>IF(K270=0,0,VLOOKUP(K270,Sheet1!$A$1:$B$30,2))</f>
        <v>0</v>
      </c>
      <c r="K270" s="36"/>
      <c r="L270" s="66">
        <f>IF(M270=0,0,VLOOKUP(M270,Sheet1!$D$1:$E$30,2))</f>
        <v>0</v>
      </c>
      <c r="M270" s="36"/>
    </row>
    <row r="271" spans="1:13" ht="13.5">
      <c r="A271" s="36"/>
      <c r="B271" s="36"/>
      <c r="C271" s="36"/>
      <c r="D271" s="36"/>
      <c r="E271" s="26"/>
      <c r="F271" s="38"/>
      <c r="G271" s="38"/>
      <c r="H271" s="39">
        <f>IF(F271="",IF(G271="","",SUM($F$2:F271)-SUM($G$2:G271)),SUM($F$2:F271)-SUM($G$2:G271))</f>
      </c>
      <c r="I271" s="36"/>
      <c r="J271" s="40">
        <f>IF(K271=0,0,VLOOKUP(K271,Sheet1!$A$1:$B$30,2))</f>
        <v>0</v>
      </c>
      <c r="K271" s="36"/>
      <c r="L271" s="66">
        <f>IF(M271=0,0,VLOOKUP(M271,Sheet1!$D$1:$E$30,2))</f>
        <v>0</v>
      </c>
      <c r="M271" s="36"/>
    </row>
    <row r="272" spans="1:13" ht="13.5">
      <c r="A272" s="36"/>
      <c r="B272" s="36"/>
      <c r="C272" s="36"/>
      <c r="D272" s="36"/>
      <c r="E272" s="26"/>
      <c r="F272" s="38"/>
      <c r="G272" s="38"/>
      <c r="H272" s="39">
        <f>IF(F272="",IF(G272="","",SUM($F$2:F272)-SUM($G$2:G272)),SUM($F$2:F272)-SUM($G$2:G272))</f>
      </c>
      <c r="I272" s="36"/>
      <c r="J272" s="40">
        <f>IF(K272=0,0,VLOOKUP(K272,Sheet1!$A$1:$B$30,2))</f>
        <v>0</v>
      </c>
      <c r="K272" s="36"/>
      <c r="L272" s="66">
        <f>IF(M272=0,0,VLOOKUP(M272,Sheet1!$D$1:$E$30,2))</f>
        <v>0</v>
      </c>
      <c r="M272" s="36"/>
    </row>
    <row r="273" spans="1:13" ht="13.5">
      <c r="A273" s="36"/>
      <c r="B273" s="36"/>
      <c r="C273" s="36"/>
      <c r="D273" s="36"/>
      <c r="E273" s="26"/>
      <c r="F273" s="38"/>
      <c r="G273" s="38"/>
      <c r="H273" s="39">
        <f>IF(F273="",IF(G273="","",SUM($F$2:F273)-SUM($G$2:G273)),SUM($F$2:F273)-SUM($G$2:G273))</f>
      </c>
      <c r="I273" s="36"/>
      <c r="J273" s="40">
        <f>IF(K273=0,0,VLOOKUP(K273,Sheet1!$A$1:$B$30,2))</f>
        <v>0</v>
      </c>
      <c r="K273" s="36"/>
      <c r="L273" s="66">
        <f>IF(M273=0,0,VLOOKUP(M273,Sheet1!$D$1:$E$30,2))</f>
        <v>0</v>
      </c>
      <c r="M273" s="36"/>
    </row>
    <row r="274" spans="1:13" ht="13.5">
      <c r="A274" s="36"/>
      <c r="B274" s="36"/>
      <c r="C274" s="36"/>
      <c r="D274" s="36"/>
      <c r="E274" s="26"/>
      <c r="F274" s="38"/>
      <c r="G274" s="38"/>
      <c r="H274" s="39">
        <f>IF(F274="",IF(G274="","",SUM($F$2:F274)-SUM($G$2:G274)),SUM($F$2:F274)-SUM($G$2:G274))</f>
      </c>
      <c r="I274" s="36"/>
      <c r="J274" s="40">
        <f>IF(K274=0,0,VLOOKUP(K274,Sheet1!$A$1:$B$30,2))</f>
        <v>0</v>
      </c>
      <c r="K274" s="36"/>
      <c r="L274" s="66">
        <f>IF(M274=0,0,VLOOKUP(M274,Sheet1!$D$1:$E$30,2))</f>
        <v>0</v>
      </c>
      <c r="M274" s="36"/>
    </row>
    <row r="275" spans="1:13" ht="13.5">
      <c r="A275" s="36"/>
      <c r="B275" s="36"/>
      <c r="C275" s="36"/>
      <c r="D275" s="36"/>
      <c r="E275" s="26"/>
      <c r="F275" s="38"/>
      <c r="G275" s="38"/>
      <c r="H275" s="39">
        <f>IF(F275="",IF(G275="","",SUM($F$2:F275)-SUM($G$2:G275)),SUM($F$2:F275)-SUM($G$2:G275))</f>
      </c>
      <c r="I275" s="36"/>
      <c r="J275" s="40">
        <f>IF(K275=0,0,VLOOKUP(K275,Sheet1!$A$1:$B$30,2))</f>
        <v>0</v>
      </c>
      <c r="K275" s="36"/>
      <c r="L275" s="66">
        <f>IF(M275=0,0,VLOOKUP(M275,Sheet1!$D$1:$E$30,2))</f>
        <v>0</v>
      </c>
      <c r="M275" s="36"/>
    </row>
    <row r="276" spans="1:13" ht="13.5">
      <c r="A276" s="36"/>
      <c r="B276" s="36"/>
      <c r="C276" s="36"/>
      <c r="D276" s="36"/>
      <c r="E276" s="26"/>
      <c r="F276" s="38"/>
      <c r="G276" s="38"/>
      <c r="H276" s="39">
        <f>IF(F276="",IF(G276="","",SUM($F$2:F276)-SUM($G$2:G276)),SUM($F$2:F276)-SUM($G$2:G276))</f>
      </c>
      <c r="I276" s="36"/>
      <c r="J276" s="40">
        <f>IF(K276=0,0,VLOOKUP(K276,Sheet1!$A$1:$B$30,2))</f>
        <v>0</v>
      </c>
      <c r="K276" s="36"/>
      <c r="L276" s="66">
        <f>IF(M276=0,0,VLOOKUP(M276,Sheet1!$D$1:$E$30,2))</f>
        <v>0</v>
      </c>
      <c r="M276" s="36"/>
    </row>
    <row r="277" spans="1:13" ht="13.5">
      <c r="A277" s="36"/>
      <c r="B277" s="36"/>
      <c r="C277" s="36"/>
      <c r="D277" s="36"/>
      <c r="E277" s="26"/>
      <c r="F277" s="38"/>
      <c r="G277" s="38"/>
      <c r="H277" s="39">
        <f>IF(F277="",IF(G277="","",SUM($F$2:F277)-SUM($G$2:G277)),SUM($F$2:F277)-SUM($G$2:G277))</f>
      </c>
      <c r="I277" s="36"/>
      <c r="J277" s="40">
        <f>IF(K277=0,0,VLOOKUP(K277,Sheet1!$A$1:$B$30,2))</f>
        <v>0</v>
      </c>
      <c r="K277" s="36"/>
      <c r="L277" s="66">
        <f>IF(M277=0,0,VLOOKUP(M277,Sheet1!$D$1:$E$30,2))</f>
        <v>0</v>
      </c>
      <c r="M277" s="36"/>
    </row>
    <row r="278" spans="1:13" ht="13.5">
      <c r="A278" s="36"/>
      <c r="B278" s="36"/>
      <c r="C278" s="36"/>
      <c r="D278" s="36"/>
      <c r="E278" s="26"/>
      <c r="F278" s="38"/>
      <c r="G278" s="38"/>
      <c r="H278" s="39">
        <f>IF(F278="",IF(G278="","",SUM($F$2:F278)-SUM($G$2:G278)),SUM($F$2:F278)-SUM($G$2:G278))</f>
      </c>
      <c r="I278" s="36"/>
      <c r="J278" s="40">
        <f>IF(K278=0,0,VLOOKUP(K278,Sheet1!$A$1:$B$30,2))</f>
        <v>0</v>
      </c>
      <c r="K278" s="36"/>
      <c r="L278" s="66">
        <f>IF(M278=0,0,VLOOKUP(M278,Sheet1!$D$1:$E$30,2))</f>
        <v>0</v>
      </c>
      <c r="M278" s="36"/>
    </row>
    <row r="279" spans="1:13" ht="13.5">
      <c r="A279" s="36"/>
      <c r="B279" s="36"/>
      <c r="C279" s="36"/>
      <c r="D279" s="36"/>
      <c r="E279" s="26"/>
      <c r="F279" s="38"/>
      <c r="G279" s="38"/>
      <c r="H279" s="39">
        <f>IF(F279="",IF(G279="","",SUM($F$2:F279)-SUM($G$2:G279)),SUM($F$2:F279)-SUM($G$2:G279))</f>
      </c>
      <c r="I279" s="36"/>
      <c r="J279" s="40">
        <f>IF(K279=0,0,VLOOKUP(K279,Sheet1!$A$1:$B$30,2))</f>
        <v>0</v>
      </c>
      <c r="K279" s="36"/>
      <c r="L279" s="66">
        <f>IF(M279=0,0,VLOOKUP(M279,Sheet1!$D$1:$E$30,2))</f>
        <v>0</v>
      </c>
      <c r="M279" s="36"/>
    </row>
    <row r="280" spans="1:13" ht="13.5">
      <c r="A280" s="36"/>
      <c r="B280" s="36"/>
      <c r="C280" s="36"/>
      <c r="D280" s="36"/>
      <c r="E280" s="26"/>
      <c r="F280" s="38"/>
      <c r="G280" s="38"/>
      <c r="H280" s="39">
        <f>IF(F280="",IF(G280="","",SUM($F$2:F280)-SUM($G$2:G280)),SUM($F$2:F280)-SUM($G$2:G280))</f>
      </c>
      <c r="I280" s="36"/>
      <c r="J280" s="40">
        <f>IF(K280=0,0,VLOOKUP(K280,Sheet1!$A$1:$B$30,2))</f>
        <v>0</v>
      </c>
      <c r="K280" s="36"/>
      <c r="L280" s="66">
        <f>IF(M280=0,0,VLOOKUP(M280,Sheet1!$D$1:$E$30,2))</f>
        <v>0</v>
      </c>
      <c r="M280" s="36"/>
    </row>
    <row r="281" spans="1:13" ht="13.5">
      <c r="A281" s="36"/>
      <c r="B281" s="36"/>
      <c r="C281" s="36"/>
      <c r="D281" s="36"/>
      <c r="E281" s="26"/>
      <c r="F281" s="38"/>
      <c r="G281" s="38"/>
      <c r="H281" s="39">
        <f>IF(F281="",IF(G281="","",SUM($F$2:F281)-SUM($G$2:G281)),SUM($F$2:F281)-SUM($G$2:G281))</f>
      </c>
      <c r="I281" s="36"/>
      <c r="J281" s="40">
        <f>IF(K281=0,0,VLOOKUP(K281,Sheet1!$A$1:$B$30,2))</f>
        <v>0</v>
      </c>
      <c r="K281" s="36"/>
      <c r="L281" s="66">
        <f>IF(M281=0,0,VLOOKUP(M281,Sheet1!$D$1:$E$30,2))</f>
        <v>0</v>
      </c>
      <c r="M281" s="36"/>
    </row>
    <row r="282" spans="1:13" ht="13.5">
      <c r="A282" s="36"/>
      <c r="B282" s="36"/>
      <c r="C282" s="36"/>
      <c r="D282" s="36"/>
      <c r="E282" s="26"/>
      <c r="F282" s="38"/>
      <c r="G282" s="38"/>
      <c r="H282" s="39">
        <f>IF(F282="",IF(G282="","",SUM($F$2:F282)-SUM($G$2:G282)),SUM($F$2:F282)-SUM($G$2:G282))</f>
      </c>
      <c r="I282" s="36"/>
      <c r="J282" s="40">
        <f>IF(K282=0,0,VLOOKUP(K282,Sheet1!$A$1:$B$30,2))</f>
        <v>0</v>
      </c>
      <c r="K282" s="36"/>
      <c r="L282" s="66">
        <f>IF(M282=0,0,VLOOKUP(M282,Sheet1!$D$1:$E$30,2))</f>
        <v>0</v>
      </c>
      <c r="M282" s="36"/>
    </row>
    <row r="283" spans="1:13" ht="13.5">
      <c r="A283" s="36"/>
      <c r="B283" s="36"/>
      <c r="C283" s="36"/>
      <c r="D283" s="36"/>
      <c r="E283" s="26"/>
      <c r="F283" s="38"/>
      <c r="G283" s="38"/>
      <c r="H283" s="39">
        <f>IF(F283="",IF(G283="","",SUM($F$2:F283)-SUM($G$2:G283)),SUM($F$2:F283)-SUM($G$2:G283))</f>
      </c>
      <c r="I283" s="36"/>
      <c r="J283" s="40">
        <f>IF(K283=0,0,VLOOKUP(K283,Sheet1!$A$1:$B$30,2))</f>
        <v>0</v>
      </c>
      <c r="K283" s="36"/>
      <c r="L283" s="66">
        <f>IF(M283=0,0,VLOOKUP(M283,Sheet1!$D$1:$E$30,2))</f>
        <v>0</v>
      </c>
      <c r="M283" s="36"/>
    </row>
    <row r="284" spans="1:13" ht="13.5">
      <c r="A284" s="36"/>
      <c r="B284" s="36"/>
      <c r="C284" s="36"/>
      <c r="D284" s="36"/>
      <c r="E284" s="26"/>
      <c r="F284" s="38"/>
      <c r="G284" s="38"/>
      <c r="H284" s="39">
        <f>IF(F284="",IF(G284="","",SUM($F$2:F284)-SUM($G$2:G284)),SUM($F$2:F284)-SUM($G$2:G284))</f>
      </c>
      <c r="I284" s="36"/>
      <c r="J284" s="40">
        <f>IF(K284=0,0,VLOOKUP(K284,Sheet1!$A$1:$B$30,2))</f>
        <v>0</v>
      </c>
      <c r="K284" s="36"/>
      <c r="L284" s="66">
        <f>IF(M284=0,0,VLOOKUP(M284,Sheet1!$D$1:$E$30,2))</f>
        <v>0</v>
      </c>
      <c r="M284" s="36"/>
    </row>
    <row r="285" spans="1:13" ht="13.5">
      <c r="A285" s="36"/>
      <c r="B285" s="36"/>
      <c r="C285" s="36"/>
      <c r="D285" s="36"/>
      <c r="E285" s="26"/>
      <c r="F285" s="38"/>
      <c r="G285" s="38"/>
      <c r="H285" s="39">
        <f>IF(F285="",IF(G285="","",SUM($F$2:F285)-SUM($G$2:G285)),SUM($F$2:F285)-SUM($G$2:G285))</f>
      </c>
      <c r="I285" s="36"/>
      <c r="J285" s="40">
        <f>IF(K285=0,0,VLOOKUP(K285,Sheet1!$A$1:$B$30,2))</f>
        <v>0</v>
      </c>
      <c r="K285" s="36"/>
      <c r="L285" s="66">
        <f>IF(M285=0,0,VLOOKUP(M285,Sheet1!$D$1:$E$30,2))</f>
        <v>0</v>
      </c>
      <c r="M285" s="36"/>
    </row>
    <row r="286" spans="1:13" ht="13.5">
      <c r="A286" s="36"/>
      <c r="B286" s="36"/>
      <c r="C286" s="36"/>
      <c r="D286" s="36"/>
      <c r="E286" s="26"/>
      <c r="F286" s="38"/>
      <c r="G286" s="38"/>
      <c r="H286" s="39">
        <f>IF(F286="",IF(G286="","",SUM($F$2:F286)-SUM($G$2:G286)),SUM($F$2:F286)-SUM($G$2:G286))</f>
      </c>
      <c r="I286" s="36"/>
      <c r="J286" s="40">
        <f>IF(K286=0,0,VLOOKUP(K286,Sheet1!$A$1:$B$30,2))</f>
        <v>0</v>
      </c>
      <c r="K286" s="36"/>
      <c r="L286" s="66">
        <f>IF(M286=0,0,VLOOKUP(M286,Sheet1!$D$1:$E$30,2))</f>
        <v>0</v>
      </c>
      <c r="M286" s="36"/>
    </row>
    <row r="287" spans="1:13" ht="13.5">
      <c r="A287" s="36"/>
      <c r="B287" s="36"/>
      <c r="C287" s="36"/>
      <c r="D287" s="36"/>
      <c r="E287" s="26"/>
      <c r="F287" s="38"/>
      <c r="G287" s="38"/>
      <c r="H287" s="39">
        <f>IF(F287="",IF(G287="","",SUM($F$2:F287)-SUM($G$2:G287)),SUM($F$2:F287)-SUM($G$2:G287))</f>
      </c>
      <c r="I287" s="36"/>
      <c r="J287" s="40">
        <f>IF(K287=0,0,VLOOKUP(K287,Sheet1!$A$1:$B$30,2))</f>
        <v>0</v>
      </c>
      <c r="K287" s="36"/>
      <c r="L287" s="66">
        <f>IF(M287=0,0,VLOOKUP(M287,Sheet1!$D$1:$E$30,2))</f>
        <v>0</v>
      </c>
      <c r="M287" s="36"/>
    </row>
    <row r="288" spans="1:13" ht="13.5">
      <c r="A288" s="36"/>
      <c r="B288" s="36"/>
      <c r="C288" s="36"/>
      <c r="D288" s="36"/>
      <c r="E288" s="26"/>
      <c r="F288" s="38"/>
      <c r="G288" s="38"/>
      <c r="H288" s="39">
        <f>IF(F288="",IF(G288="","",SUM($F$2:F288)-SUM($G$2:G288)),SUM($F$2:F288)-SUM($G$2:G288))</f>
      </c>
      <c r="I288" s="36"/>
      <c r="J288" s="40">
        <f>IF(K288=0,0,VLOOKUP(K288,Sheet1!$A$1:$B$30,2))</f>
        <v>0</v>
      </c>
      <c r="K288" s="36"/>
      <c r="L288" s="66">
        <f>IF(M288=0,0,VLOOKUP(M288,Sheet1!$D$1:$E$30,2))</f>
        <v>0</v>
      </c>
      <c r="M288" s="36"/>
    </row>
    <row r="289" spans="1:13" ht="13.5">
      <c r="A289" s="36"/>
      <c r="B289" s="36"/>
      <c r="C289" s="36"/>
      <c r="D289" s="36"/>
      <c r="E289" s="26"/>
      <c r="F289" s="38"/>
      <c r="G289" s="38"/>
      <c r="H289" s="39">
        <f>IF(F289="",IF(G289="","",SUM($F$2:F289)-SUM($G$2:G289)),SUM($F$2:F289)-SUM($G$2:G289))</f>
      </c>
      <c r="I289" s="36"/>
      <c r="J289" s="40">
        <f>IF(K289=0,0,VLOOKUP(K289,Sheet1!$A$1:$B$30,2))</f>
        <v>0</v>
      </c>
      <c r="K289" s="36"/>
      <c r="L289" s="66">
        <f>IF(M289=0,0,VLOOKUP(M289,Sheet1!$D$1:$E$30,2))</f>
        <v>0</v>
      </c>
      <c r="M289" s="36"/>
    </row>
    <row r="290" spans="1:13" ht="13.5">
      <c r="A290" s="36"/>
      <c r="B290" s="36"/>
      <c r="C290" s="36"/>
      <c r="D290" s="36"/>
      <c r="E290" s="26"/>
      <c r="F290" s="38"/>
      <c r="G290" s="38"/>
      <c r="H290" s="39">
        <f>IF(F290="",IF(G290="","",SUM($F$2:F290)-SUM($G$2:G290)),SUM($F$2:F290)-SUM($G$2:G290))</f>
      </c>
      <c r="I290" s="36"/>
      <c r="J290" s="40">
        <f>IF(K290=0,0,VLOOKUP(K290,Sheet1!$A$1:$B$30,2))</f>
        <v>0</v>
      </c>
      <c r="K290" s="36"/>
      <c r="L290" s="66">
        <f>IF(M290=0,0,VLOOKUP(M290,Sheet1!$D$1:$E$30,2))</f>
        <v>0</v>
      </c>
      <c r="M290" s="36"/>
    </row>
    <row r="291" spans="1:13" ht="13.5">
      <c r="A291" s="36"/>
      <c r="B291" s="36"/>
      <c r="C291" s="36"/>
      <c r="D291" s="36"/>
      <c r="E291" s="26"/>
      <c r="F291" s="38"/>
      <c r="G291" s="38"/>
      <c r="H291" s="39">
        <f>IF(F291="",IF(G291="","",SUM($F$2:F291)-SUM($G$2:G291)),SUM($F$2:F291)-SUM($G$2:G291))</f>
      </c>
      <c r="I291" s="36"/>
      <c r="J291" s="40">
        <f>IF(K291=0,0,VLOOKUP(K291,Sheet1!$A$1:$B$30,2))</f>
        <v>0</v>
      </c>
      <c r="K291" s="36"/>
      <c r="L291" s="66">
        <f>IF(M291=0,0,VLOOKUP(M291,Sheet1!$D$1:$E$30,2))</f>
        <v>0</v>
      </c>
      <c r="M291" s="36"/>
    </row>
    <row r="292" spans="1:13" ht="13.5">
      <c r="A292" s="36"/>
      <c r="B292" s="36"/>
      <c r="C292" s="36"/>
      <c r="D292" s="36"/>
      <c r="E292" s="26"/>
      <c r="F292" s="38"/>
      <c r="G292" s="38"/>
      <c r="H292" s="39">
        <f>IF(F292="",IF(G292="","",SUM($F$2:F292)-SUM($G$2:G292)),SUM($F$2:F292)-SUM($G$2:G292))</f>
      </c>
      <c r="I292" s="36"/>
      <c r="J292" s="40">
        <f>IF(K292=0,0,VLOOKUP(K292,Sheet1!$A$1:$B$30,2))</f>
        <v>0</v>
      </c>
      <c r="K292" s="36"/>
      <c r="L292" s="66">
        <f>IF(M292=0,0,VLOOKUP(M292,Sheet1!$D$1:$E$30,2))</f>
        <v>0</v>
      </c>
      <c r="M292" s="36"/>
    </row>
    <row r="293" spans="1:13" ht="13.5">
      <c r="A293" s="36"/>
      <c r="B293" s="36"/>
      <c r="C293" s="36"/>
      <c r="D293" s="36"/>
      <c r="E293" s="26"/>
      <c r="F293" s="38"/>
      <c r="G293" s="38"/>
      <c r="H293" s="39">
        <f>IF(F293="",IF(G293="","",SUM($F$2:F293)-SUM($G$2:G293)),SUM($F$2:F293)-SUM($G$2:G293))</f>
      </c>
      <c r="I293" s="36"/>
      <c r="J293" s="40">
        <f>IF(K293=0,0,VLOOKUP(K293,Sheet1!$A$1:$B$30,2))</f>
        <v>0</v>
      </c>
      <c r="K293" s="36"/>
      <c r="L293" s="66">
        <f>IF(M293=0,0,VLOOKUP(M293,Sheet1!$D$1:$E$30,2))</f>
        <v>0</v>
      </c>
      <c r="M293" s="36"/>
    </row>
    <row r="294" spans="1:13" ht="13.5">
      <c r="A294" s="36"/>
      <c r="B294" s="36"/>
      <c r="C294" s="36"/>
      <c r="D294" s="36"/>
      <c r="E294" s="26"/>
      <c r="F294" s="38"/>
      <c r="G294" s="38"/>
      <c r="H294" s="39">
        <f>IF(F294="",IF(G294="","",SUM($F$2:F294)-SUM($G$2:G294)),SUM($F$2:F294)-SUM($G$2:G294))</f>
      </c>
      <c r="I294" s="36"/>
      <c r="J294" s="40">
        <f>IF(K294=0,0,VLOOKUP(K294,Sheet1!$A$1:$B$30,2))</f>
        <v>0</v>
      </c>
      <c r="K294" s="36"/>
      <c r="L294" s="66">
        <f>IF(M294=0,0,VLOOKUP(M294,Sheet1!$D$1:$E$30,2))</f>
        <v>0</v>
      </c>
      <c r="M294" s="36"/>
    </row>
    <row r="295" spans="1:13" ht="13.5">
      <c r="A295" s="36"/>
      <c r="B295" s="36"/>
      <c r="C295" s="36"/>
      <c r="D295" s="36"/>
      <c r="E295" s="26"/>
      <c r="F295" s="38"/>
      <c r="G295" s="38"/>
      <c r="H295" s="39">
        <f>IF(F295="",IF(G295="","",SUM($F$2:F295)-SUM($G$2:G295)),SUM($F$2:F295)-SUM($G$2:G295))</f>
      </c>
      <c r="I295" s="36"/>
      <c r="J295" s="40">
        <f>IF(K295=0,0,VLOOKUP(K295,Sheet1!$A$1:$B$30,2))</f>
        <v>0</v>
      </c>
      <c r="K295" s="36"/>
      <c r="L295" s="66">
        <f>IF(M295=0,0,VLOOKUP(M295,Sheet1!$D$1:$E$30,2))</f>
        <v>0</v>
      </c>
      <c r="M295" s="36"/>
    </row>
    <row r="296" spans="1:13" ht="13.5">
      <c r="A296" s="36"/>
      <c r="B296" s="36"/>
      <c r="C296" s="36"/>
      <c r="D296" s="36"/>
      <c r="E296" s="26"/>
      <c r="F296" s="38"/>
      <c r="G296" s="38"/>
      <c r="H296" s="39">
        <f>IF(F296="",IF(G296="","",SUM($F$2:F296)-SUM($G$2:G296)),SUM($F$2:F296)-SUM($G$2:G296))</f>
      </c>
      <c r="I296" s="36"/>
      <c r="J296" s="40">
        <f>IF(K296=0,0,VLOOKUP(K296,Sheet1!$A$1:$B$30,2))</f>
        <v>0</v>
      </c>
      <c r="K296" s="36"/>
      <c r="L296" s="66">
        <f>IF(M296=0,0,VLOOKUP(M296,Sheet1!$D$1:$E$30,2))</f>
        <v>0</v>
      </c>
      <c r="M296" s="36"/>
    </row>
    <row r="297" spans="1:13" ht="13.5">
      <c r="A297" s="36"/>
      <c r="B297" s="36"/>
      <c r="C297" s="36"/>
      <c r="D297" s="36"/>
      <c r="E297" s="26"/>
      <c r="F297" s="38"/>
      <c r="G297" s="38"/>
      <c r="H297" s="39">
        <f>IF(F297="",IF(G297="","",SUM($F$2:F297)-SUM($G$2:G297)),SUM($F$2:F297)-SUM($G$2:G297))</f>
      </c>
      <c r="I297" s="36"/>
      <c r="J297" s="40">
        <f>IF(K297=0,0,VLOOKUP(K297,Sheet1!$A$1:$B$30,2))</f>
        <v>0</v>
      </c>
      <c r="K297" s="36"/>
      <c r="L297" s="66">
        <f>IF(M297=0,0,VLOOKUP(M297,Sheet1!$D$1:$E$30,2))</f>
        <v>0</v>
      </c>
      <c r="M297" s="36"/>
    </row>
    <row r="298" spans="1:13" ht="13.5">
      <c r="A298" s="36"/>
      <c r="B298" s="36"/>
      <c r="C298" s="36"/>
      <c r="D298" s="36"/>
      <c r="E298" s="26"/>
      <c r="F298" s="38"/>
      <c r="G298" s="38"/>
      <c r="H298" s="39">
        <f>IF(F298="",IF(G298="","",SUM($F$2:F298)-SUM($G$2:G298)),SUM($F$2:F298)-SUM($G$2:G298))</f>
      </c>
      <c r="I298" s="36"/>
      <c r="J298" s="40">
        <f>IF(K298=0,0,VLOOKUP(K298,Sheet1!$A$1:$B$30,2))</f>
        <v>0</v>
      </c>
      <c r="K298" s="36"/>
      <c r="L298" s="66">
        <f>IF(M298=0,0,VLOOKUP(M298,Sheet1!$D$1:$E$30,2))</f>
        <v>0</v>
      </c>
      <c r="M298" s="36"/>
    </row>
    <row r="299" spans="1:13" ht="13.5">
      <c r="A299" s="36"/>
      <c r="B299" s="41"/>
      <c r="C299" s="41"/>
      <c r="D299" s="41"/>
      <c r="E299" s="97"/>
      <c r="F299" s="42"/>
      <c r="G299" s="38"/>
      <c r="H299" s="39">
        <f>IF(F299="",IF(G299="","",SUM($F$2:F299)-SUM($G$2:G299)),SUM($F$2:F299)-SUM($G$2:G299))</f>
      </c>
      <c r="I299" s="41"/>
      <c r="J299" s="40">
        <f>IF(K299=0,0,VLOOKUP(K299,Sheet1!$A$1:$B$30,2))</f>
        <v>0</v>
      </c>
      <c r="K299" s="41"/>
      <c r="L299" s="66">
        <f>IF(M299=0,0,VLOOKUP(M299,Sheet1!$D$1:$E$30,2))</f>
        <v>0</v>
      </c>
      <c r="M299" s="36"/>
    </row>
    <row r="300" spans="1:13" ht="14.25" thickBot="1">
      <c r="A300" s="36"/>
      <c r="B300" s="43"/>
      <c r="C300" s="43"/>
      <c r="D300" s="43"/>
      <c r="E300" s="98"/>
      <c r="F300" s="44"/>
      <c r="G300" s="44"/>
      <c r="H300" s="39">
        <f>IF(F300="",IF(G300="","",SUM($F$2:F300)-SUM($G$2:G300)),SUM($F$2:F300)-SUM($G$2:G300))</f>
      </c>
      <c r="I300" s="43"/>
      <c r="J300" s="45">
        <f>IF(K300=0,0,VLOOKUP(K300,Sheet1!$A$1:$B$30,2))</f>
        <v>0</v>
      </c>
      <c r="K300" s="43"/>
      <c r="L300" s="66">
        <f>IF(M300=0,0,VLOOKUP(M300,Sheet1!$D$1:$E$30,2))</f>
        <v>0</v>
      </c>
      <c r="M300" s="36"/>
    </row>
    <row r="301" spans="1:11" ht="14.25" thickTop="1">
      <c r="A301" s="36"/>
      <c r="B301" s="46"/>
      <c r="C301" s="46"/>
      <c r="D301" s="46"/>
      <c r="E301" s="46" t="s">
        <v>55</v>
      </c>
      <c r="F301" s="47">
        <f>SUMIF($K$2:$K$300,$K301,F$2:F$300)</f>
        <v>0</v>
      </c>
      <c r="G301" s="47">
        <f>SUMIF($K$2:$K$300,$K301,G$2:G$300)</f>
        <v>10400</v>
      </c>
      <c r="H301" s="48"/>
      <c r="I301" s="46"/>
      <c r="J301" s="49" t="str">
        <f>IF(K301=0,0,VLOOKUP(K301,Sheet1!$A$1:$B$30,2))</f>
        <v>研究研修費</v>
      </c>
      <c r="K301" s="46">
        <v>1</v>
      </c>
    </row>
    <row r="302" spans="1:11" ht="13.5">
      <c r="A302" s="36"/>
      <c r="B302" s="50"/>
      <c r="C302" s="50"/>
      <c r="D302" s="50"/>
      <c r="E302" s="50" t="s">
        <v>55</v>
      </c>
      <c r="F302" s="47">
        <f aca="true" t="shared" si="0" ref="F302:F311">SUMIF($K$2:$K$300,$K302,F$2:F$300)</f>
        <v>0</v>
      </c>
      <c r="G302" s="51">
        <f aca="true" t="shared" si="1" ref="G302:G311">SUMIF(K$2:K$300,K302,G$2:G$300)</f>
        <v>0</v>
      </c>
      <c r="H302" s="52"/>
      <c r="I302" s="50"/>
      <c r="J302" s="49" t="str">
        <f>IF(K302=0,0,VLOOKUP(K302,Sheet1!$A$1:$B$30,2))</f>
        <v>調査旅費</v>
      </c>
      <c r="K302" s="50">
        <v>2</v>
      </c>
    </row>
    <row r="303" spans="1:11" ht="13.5">
      <c r="A303" s="36"/>
      <c r="B303" s="50"/>
      <c r="C303" s="50"/>
      <c r="D303" s="50"/>
      <c r="E303" s="50" t="s">
        <v>55</v>
      </c>
      <c r="F303" s="47">
        <f t="shared" si="0"/>
        <v>0</v>
      </c>
      <c r="G303" s="51">
        <f t="shared" si="1"/>
        <v>5534</v>
      </c>
      <c r="H303" s="52"/>
      <c r="I303" s="50"/>
      <c r="J303" s="49" t="str">
        <f>IF(K303=0,0,VLOOKUP(K303,Sheet1!$A$1:$B$30,2))</f>
        <v>資料作成費</v>
      </c>
      <c r="K303" s="50">
        <v>3</v>
      </c>
    </row>
    <row r="304" spans="1:11" ht="13.5">
      <c r="A304" s="36"/>
      <c r="B304" s="50"/>
      <c r="C304" s="50"/>
      <c r="D304" s="50"/>
      <c r="E304" s="50" t="s">
        <v>55</v>
      </c>
      <c r="F304" s="47">
        <f t="shared" si="0"/>
        <v>0</v>
      </c>
      <c r="G304" s="51">
        <f t="shared" si="1"/>
        <v>61355</v>
      </c>
      <c r="H304" s="52"/>
      <c r="I304" s="50"/>
      <c r="J304" s="49" t="str">
        <f>IF(K304=0,0,VLOOKUP(K304,Sheet1!$A$1:$B$30,2))</f>
        <v>資料購入費</v>
      </c>
      <c r="K304" s="50">
        <v>4</v>
      </c>
    </row>
    <row r="305" spans="1:11" ht="13.5">
      <c r="A305" s="36"/>
      <c r="B305" s="50"/>
      <c r="C305" s="50"/>
      <c r="D305" s="50"/>
      <c r="E305" s="50" t="s">
        <v>55</v>
      </c>
      <c r="F305" s="47">
        <f t="shared" si="0"/>
        <v>0</v>
      </c>
      <c r="G305" s="51">
        <f t="shared" si="1"/>
        <v>1096481</v>
      </c>
      <c r="H305" s="52"/>
      <c r="I305" s="50"/>
      <c r="J305" s="49" t="str">
        <f>IF(K305=0,0,VLOOKUP(K305,Sheet1!$A$1:$B$30,2))</f>
        <v>広報費</v>
      </c>
      <c r="K305" s="50">
        <v>5</v>
      </c>
    </row>
    <row r="306" spans="1:11" ht="13.5">
      <c r="A306" s="36"/>
      <c r="B306" s="50"/>
      <c r="C306" s="50"/>
      <c r="D306" s="50"/>
      <c r="E306" s="50" t="s">
        <v>55</v>
      </c>
      <c r="F306" s="47">
        <f t="shared" si="0"/>
        <v>0</v>
      </c>
      <c r="G306" s="51">
        <f t="shared" si="1"/>
        <v>0</v>
      </c>
      <c r="H306" s="52"/>
      <c r="I306" s="50"/>
      <c r="J306" s="49" t="str">
        <f>IF(K306=0,0,VLOOKUP(K306,Sheet1!$A$1:$B$30,2))</f>
        <v>広聴費</v>
      </c>
      <c r="K306" s="50">
        <v>6</v>
      </c>
    </row>
    <row r="307" spans="1:11" ht="13.5">
      <c r="A307" s="36"/>
      <c r="B307" s="50"/>
      <c r="C307" s="50"/>
      <c r="D307" s="50"/>
      <c r="E307" s="50" t="s">
        <v>55</v>
      </c>
      <c r="F307" s="47">
        <f t="shared" si="0"/>
        <v>0</v>
      </c>
      <c r="G307" s="51">
        <f t="shared" si="1"/>
        <v>100000</v>
      </c>
      <c r="H307" s="52"/>
      <c r="I307" s="50"/>
      <c r="J307" s="49" t="str">
        <f>IF(K307=0,0,VLOOKUP(K307,Sheet1!$A$1:$B$30,2))</f>
        <v>人件費</v>
      </c>
      <c r="K307" s="50">
        <v>7</v>
      </c>
    </row>
    <row r="308" spans="1:21" ht="13.5">
      <c r="A308" s="36"/>
      <c r="B308" s="50"/>
      <c r="C308" s="50"/>
      <c r="D308" s="50"/>
      <c r="E308" s="50" t="s">
        <v>55</v>
      </c>
      <c r="F308" s="47">
        <f t="shared" si="0"/>
        <v>0</v>
      </c>
      <c r="G308" s="51">
        <f t="shared" si="1"/>
        <v>23536</v>
      </c>
      <c r="H308" s="52"/>
      <c r="I308" s="50"/>
      <c r="J308" s="49" t="str">
        <f>IF(K308=0,0,VLOOKUP(K308,Sheet1!$A$1:$B$30,2))</f>
        <v>事務所費</v>
      </c>
      <c r="K308" s="50">
        <v>8</v>
      </c>
      <c r="P308" s="107" t="s">
        <v>104</v>
      </c>
      <c r="Q308" s="107"/>
      <c r="R308" s="107"/>
      <c r="S308" s="107"/>
      <c r="T308" s="107"/>
      <c r="U308" t="s">
        <v>105</v>
      </c>
    </row>
    <row r="309" spans="1:25" ht="13.5">
      <c r="A309" s="36"/>
      <c r="B309" s="50"/>
      <c r="C309" s="50"/>
      <c r="D309" s="50"/>
      <c r="E309" s="50" t="s">
        <v>55</v>
      </c>
      <c r="F309" s="47">
        <f t="shared" si="0"/>
        <v>0</v>
      </c>
      <c r="G309" s="51">
        <f t="shared" si="1"/>
        <v>0</v>
      </c>
      <c r="H309" s="52"/>
      <c r="I309" s="50"/>
      <c r="J309" s="49" t="str">
        <f>IF(K309=0,0,VLOOKUP(K309,Sheet1!$A$1:$B$30,2))</f>
        <v>会派共用費</v>
      </c>
      <c r="K309" s="50">
        <v>9</v>
      </c>
      <c r="P309" s="59"/>
      <c r="Q309" s="75" t="str">
        <f>Sheet1!E1</f>
        <v>電話代</v>
      </c>
      <c r="R309" s="75" t="str">
        <f>Sheet1!E2</f>
        <v>ガソリン代</v>
      </c>
      <c r="S309" s="75" t="str">
        <f>Sheet1!E3</f>
        <v>駐車場代</v>
      </c>
      <c r="T309" s="75" t="str">
        <f>Sheet1!E4</f>
        <v>郵便関係</v>
      </c>
      <c r="U309" s="75" t="str">
        <f>Sheet1!E5</f>
        <v>交通費関係</v>
      </c>
      <c r="V309" s="76" t="s">
        <v>56</v>
      </c>
      <c r="W309" s="76" t="s">
        <v>99</v>
      </c>
      <c r="X309" s="59" t="s">
        <v>100</v>
      </c>
      <c r="Y309" s="36" t="s">
        <v>107</v>
      </c>
    </row>
    <row r="310" spans="1:27" ht="13.5">
      <c r="A310" s="36"/>
      <c r="B310" s="50"/>
      <c r="C310" s="50"/>
      <c r="D310" s="50"/>
      <c r="E310" s="50" t="s">
        <v>55</v>
      </c>
      <c r="F310" s="47">
        <f t="shared" si="0"/>
        <v>0</v>
      </c>
      <c r="G310" s="51">
        <f t="shared" si="1"/>
        <v>161841</v>
      </c>
      <c r="H310" s="52"/>
      <c r="I310" s="50"/>
      <c r="J310" s="49" t="str">
        <f>IF(K310=0,0,VLOOKUP(K310,Sheet1!$A$1:$B$30,2))</f>
        <v>その他の経費</v>
      </c>
      <c r="K310" s="50">
        <v>10</v>
      </c>
      <c r="L310" s="78"/>
      <c r="M310" s="79"/>
      <c r="N310" s="80"/>
      <c r="P310" s="59" t="s">
        <v>86</v>
      </c>
      <c r="Q310" s="77">
        <f aca="true" t="array" ref="Q310">SUM(IF((D$2:D$300=4)*(M$2:M$300=1),G$2:G$300))</f>
        <v>0</v>
      </c>
      <c r="R310" s="77">
        <f aca="true" t="array" ref="R310">SUM(IF((D$2:D$300=4)*(M$2:M$300=2),G$2:G$300))</f>
        <v>2460</v>
      </c>
      <c r="S310" s="77">
        <f aca="true" t="array" ref="S310">SUM(IF((D$2:D$300=4)*(M$2:M$300=3),G$2:G$300))</f>
        <v>0</v>
      </c>
      <c r="T310" s="77">
        <f aca="true" t="array" ref="T310">SUM(IF((D$2:D$300=4)*(M$2:M$300=4),G$2:G$300))</f>
        <v>0</v>
      </c>
      <c r="U310" s="77">
        <f aca="true" t="array" ref="U310">SUM(IF((D$2:D$300=4)*(M$2:M$300=5),G$2:G$300))</f>
        <v>0</v>
      </c>
      <c r="V310" s="77">
        <f aca="true" t="shared" si="2" ref="V310:V321">SUM(Q310:U310)</f>
        <v>2460</v>
      </c>
      <c r="W310" s="77">
        <f aca="true" t="shared" si="3" ref="W310:W320">IF(V310&gt;50000,V310-50000,0)</f>
        <v>0</v>
      </c>
      <c r="X310" s="77">
        <f>V310-W310</f>
        <v>2460</v>
      </c>
      <c r="Y310" s="77">
        <f aca="true" t="array" ref="Y310">SUM(IF((D$2:D$300=4)*(G$2:G$300&gt;0)*(K$2:K$300=10)*(M$2:M$300=""),G$2:G$300))</f>
        <v>0</v>
      </c>
      <c r="AA310" s="99"/>
    </row>
    <row r="311" spans="1:25" ht="13.5">
      <c r="A311" s="36"/>
      <c r="B311" s="50"/>
      <c r="C311" s="50"/>
      <c r="D311" s="50"/>
      <c r="E311" s="50" t="s">
        <v>55</v>
      </c>
      <c r="F311" s="47">
        <f t="shared" si="0"/>
        <v>960000</v>
      </c>
      <c r="G311" s="51">
        <f t="shared" si="1"/>
        <v>0</v>
      </c>
      <c r="H311" s="52"/>
      <c r="I311" s="50"/>
      <c r="J311" s="49" t="str">
        <f>IF(K311=0,0,VLOOKUP(K311,Sheet1!$A$1:$B$30,2))</f>
        <v>交付金</v>
      </c>
      <c r="K311" s="50">
        <v>20</v>
      </c>
      <c r="L311" s="78"/>
      <c r="M311" s="79"/>
      <c r="N311" s="80"/>
      <c r="P311" s="59" t="s">
        <v>88</v>
      </c>
      <c r="Q311" s="77">
        <f aca="true" t="array" ref="Q311">SUM(IF((D$2:D$300=5)*(M$2:M$300=1),G$2:G$300))</f>
        <v>0</v>
      </c>
      <c r="R311" s="77">
        <f aca="true" t="array" ref="R311">SUM(IF((D$2:D$300=5)*(M$2:M$300=2),G$2:G$300))</f>
        <v>2993</v>
      </c>
      <c r="S311" s="77">
        <f aca="true" t="array" ref="S311">SUM(IF((D$2:D$300=5)*(M$2:M$300=3),G$2:G$300))</f>
        <v>0</v>
      </c>
      <c r="T311" s="77">
        <f aca="true" t="array" ref="T311">SUM(IF((D$2:D$300=5)*(M$2:M$300=4),G$2:G$300))</f>
        <v>0</v>
      </c>
      <c r="U311" s="77">
        <f aca="true" t="array" ref="U311">SUM(IF((D$2:D$300=5)*(M$2:M$300=5),G$2:G$300))</f>
        <v>0</v>
      </c>
      <c r="V311" s="77">
        <f t="shared" si="2"/>
        <v>2993</v>
      </c>
      <c r="W311" s="77">
        <f t="shared" si="3"/>
        <v>0</v>
      </c>
      <c r="X311" s="77">
        <f aca="true" t="shared" si="4" ref="X311:X321">V311-W311</f>
        <v>2993</v>
      </c>
      <c r="Y311" s="77">
        <f aca="true" t="array" ref="Y311">SUM(IF((D$2:D$300=5)*(G$2:G$300&gt;0)*(K$2:K$300=10)*(M$2:M$300=""),G$2:G$300))</f>
        <v>280</v>
      </c>
    </row>
    <row r="312" spans="1:25" ht="13.5">
      <c r="A312" s="36"/>
      <c r="B312" s="50"/>
      <c r="C312" s="50"/>
      <c r="D312" s="50"/>
      <c r="E312" s="50" t="s">
        <v>28</v>
      </c>
      <c r="F312" s="51">
        <f>SUM(F301:F311)</f>
        <v>960000</v>
      </c>
      <c r="G312" s="51">
        <f>SUM(G301:G311)</f>
        <v>1459147</v>
      </c>
      <c r="H312" s="52">
        <f>F312-G312</f>
        <v>-499147</v>
      </c>
      <c r="I312" s="50"/>
      <c r="J312" s="50" t="s">
        <v>56</v>
      </c>
      <c r="K312" s="50" t="s">
        <v>56</v>
      </c>
      <c r="L312" s="78"/>
      <c r="M312" s="79"/>
      <c r="N312" s="80"/>
      <c r="P312" s="59" t="s">
        <v>89</v>
      </c>
      <c r="Q312" s="77">
        <f aca="true" t="array" ref="Q312">SUM(IF((D$2:D$300=6)*(M$2:M$300=1),G$2:G$300))</f>
        <v>6748</v>
      </c>
      <c r="R312" s="77">
        <f aca="true" t="array" ref="R312">SUM(IF((D$2:D$300=6)*(M$2:M$300=2),G$2:G$300))</f>
        <v>5492</v>
      </c>
      <c r="S312" s="77">
        <f aca="true" t="array" ref="S312">SUM(IF((D$2:D$300=6)*(M$2:M$300=3),G$2:G$300))</f>
        <v>0</v>
      </c>
      <c r="T312" s="77">
        <f aca="true" t="array" ref="T312">SUM(IF((D$2:D$300=6)*(M$2:M$300=4),G$2:G$300))</f>
        <v>0</v>
      </c>
      <c r="U312" s="77">
        <f aca="true" t="array" ref="U312">SUM(IF((D$2:D$300=6)*(M$2:M$300=5),G$2:G$300))</f>
        <v>0</v>
      </c>
      <c r="V312" s="77">
        <f t="shared" si="2"/>
        <v>12240</v>
      </c>
      <c r="W312" s="77">
        <f t="shared" si="3"/>
        <v>0</v>
      </c>
      <c r="X312" s="77">
        <f t="shared" si="4"/>
        <v>12240</v>
      </c>
      <c r="Y312" s="77">
        <f aca="true" t="array" ref="Y312">SUM(IF((D$2:D$300=6)*(G$2:G$300&gt;0)*(K$2:K$300=10)*(M$2:M$300=""),G$2:G$300))</f>
        <v>0</v>
      </c>
    </row>
    <row r="313" spans="12:25" ht="13.5">
      <c r="L313" s="78"/>
      <c r="M313" s="79"/>
      <c r="N313" s="80"/>
      <c r="P313" s="59" t="s">
        <v>90</v>
      </c>
      <c r="Q313" s="77">
        <f aca="true" t="array" ref="Q313">SUM(IF((D$2:D$300=7)*(M$2:M$300=1),G$2:G$300))</f>
        <v>7711</v>
      </c>
      <c r="R313" s="77">
        <f aca="true" t="array" ref="R313">SUM(IF((D$2:D$300=7)*(M$2:M$300=2),G$2:G$300))</f>
        <v>6147</v>
      </c>
      <c r="S313" s="77">
        <f aca="true" t="array" ref="S313">SUM(IF((D$2:D$300=7)*(M$2:M$300=3),G$2:G$300))</f>
        <v>0</v>
      </c>
      <c r="T313" s="77">
        <f aca="true" t="array" ref="T313">SUM(IF((D$2:D$300=7)*(M$2:M$300=4),G$2:G$300))</f>
        <v>0</v>
      </c>
      <c r="U313" s="77">
        <f aca="true" t="array" ref="U313">SUM(IF((D$2:D$300=7)*(M$2:M$300=5),G$2:G$300))</f>
        <v>8000</v>
      </c>
      <c r="V313" s="77">
        <f t="shared" si="2"/>
        <v>21858</v>
      </c>
      <c r="W313" s="77">
        <f t="shared" si="3"/>
        <v>0</v>
      </c>
      <c r="X313" s="77">
        <f t="shared" si="4"/>
        <v>21858</v>
      </c>
      <c r="Y313" s="77">
        <f aca="true" t="array" ref="Y313">SUM(IF((D$2:D$300=7)*(G$2:G$300&gt;0)*(K$2:K$300=10)*(M$2:M$300=""),G$2:G$300))</f>
        <v>0</v>
      </c>
    </row>
    <row r="314" spans="12:25" ht="13.5">
      <c r="L314" s="78"/>
      <c r="M314" s="79"/>
      <c r="N314" s="80"/>
      <c r="P314" s="59" t="s">
        <v>91</v>
      </c>
      <c r="Q314" s="77">
        <f aca="true" t="array" ref="Q314">SUM(IF((D$2:D$300=8)*(M$2:M$300=1),G$2:G$300))</f>
        <v>5873</v>
      </c>
      <c r="R314" s="77">
        <f aca="true" t="array" ref="R314">SUM(IF((D$2:D$300=8)*(M$2:M$300=2),G$2:G$300))</f>
        <v>2256</v>
      </c>
      <c r="S314" s="77">
        <f aca="true" t="array" ref="S314">SUM(IF((D$2:D$300=8)*(M$2:M$300=3),G$2:G$300))</f>
        <v>0</v>
      </c>
      <c r="T314" s="77">
        <f aca="true" t="array" ref="T314">SUM(IF((D$2:D$300=8)*(M$2:M$300=4),G$2:G$300))</f>
        <v>0</v>
      </c>
      <c r="U314" s="77">
        <f aca="true" t="array" ref="U314">SUM(IF((D$2:D$300=8)*(M$2:M$300=5),G$2:G$300))</f>
        <v>3000</v>
      </c>
      <c r="V314" s="77">
        <f t="shared" si="2"/>
        <v>11129</v>
      </c>
      <c r="W314" s="77">
        <f t="shared" si="3"/>
        <v>0</v>
      </c>
      <c r="X314" s="77">
        <f t="shared" si="4"/>
        <v>11129</v>
      </c>
      <c r="Y314" s="77">
        <f aca="true" t="array" ref="Y314">SUM(IF((D$2:D$300=8)*(G$2:G$300&gt;0)*(K$2:K$300=10)*(M$2:M$300=""),G$2:G$300))</f>
        <v>0</v>
      </c>
    </row>
    <row r="315" spans="12:25" ht="13.5">
      <c r="L315" s="78"/>
      <c r="M315" s="79"/>
      <c r="N315" s="81"/>
      <c r="P315" s="59" t="s">
        <v>92</v>
      </c>
      <c r="Q315" s="77">
        <f aca="true" t="array" ref="Q315">SUM(IF((D$2:D$300=9)*(M$2:M$300=1),G$2:G$300))</f>
        <v>6275</v>
      </c>
      <c r="R315" s="77">
        <f aca="true" t="array" ref="R315">SUM(IF((D$2:D$300=9)*(M$2:M$300=2),G$2:G$300))</f>
        <v>0</v>
      </c>
      <c r="S315" s="77">
        <f aca="true" t="array" ref="S315">SUM(IF((D$2:D$300=9)*(M$2:M$300=3),G$2:G$300))</f>
        <v>0</v>
      </c>
      <c r="T315" s="77">
        <f aca="true" t="array" ref="T315">SUM(IF((D$2:D$300=9)*(M$2:M$300=4),G$2:G$300))</f>
        <v>0</v>
      </c>
      <c r="U315" s="77">
        <f aca="true" t="array" ref="U315">SUM(IF((D$2:D$300=9)*(M$2:M$300=5),G$2:G$300))</f>
        <v>6000</v>
      </c>
      <c r="V315" s="77">
        <f t="shared" si="2"/>
        <v>12275</v>
      </c>
      <c r="W315" s="77">
        <f t="shared" si="3"/>
        <v>0</v>
      </c>
      <c r="X315" s="77">
        <f t="shared" si="4"/>
        <v>12275</v>
      </c>
      <c r="Y315" s="77">
        <f aca="true" t="array" ref="Y315">SUM(IF((D$2:D$300=9)*(G$2:G$300&gt;0)*(K$2:K$300=10)*(M$2:M$300=""),G$2:G$300))</f>
        <v>0</v>
      </c>
    </row>
    <row r="316" spans="16:25" ht="13.5">
      <c r="P316" s="59" t="s">
        <v>93</v>
      </c>
      <c r="Q316" s="77">
        <f aca="true" t="array" ref="Q316">SUM(IF((D$2:D$300=10)*(M$2:M$300=1),G$2:G$300))</f>
        <v>8040</v>
      </c>
      <c r="R316" s="77">
        <f aca="true" t="array" ref="R316">SUM(IF((D$2:D$300=10)*(M$2:M$300=2),G$2:G$300))</f>
        <v>0</v>
      </c>
      <c r="S316" s="77">
        <f aca="true" t="array" ref="S316">SUM(IF((D$2:D$300=10)*(M$2:M$300=3),G$2:G$300))</f>
        <v>0</v>
      </c>
      <c r="T316" s="77">
        <f aca="true" t="array" ref="T316">SUM(IF((D$2:D$300=10)*(M$2:M$300=4),G$2:G$300))</f>
        <v>0</v>
      </c>
      <c r="U316" s="77">
        <f aca="true" t="array" ref="U316">SUM(IF((D$2:D$300=10)*(M$2:M$300=5),G$2:G$300))</f>
        <v>6000</v>
      </c>
      <c r="V316" s="77">
        <f t="shared" si="2"/>
        <v>14040</v>
      </c>
      <c r="W316" s="77">
        <f t="shared" si="3"/>
        <v>0</v>
      </c>
      <c r="X316" s="77">
        <f t="shared" si="4"/>
        <v>14040</v>
      </c>
      <c r="Y316" s="77">
        <f aca="true" t="array" ref="Y316">SUM(IF((D$2:D$300=10)*(G$2:G$300&gt;0)*(K$2:K$300=10)*(M$2:M$300=""),G$2:G$300))</f>
        <v>0</v>
      </c>
    </row>
    <row r="317" spans="16:25" ht="13.5">
      <c r="P317" s="59" t="s">
        <v>94</v>
      </c>
      <c r="Q317" s="77">
        <f aca="true" t="array" ref="Q317">SUM(IF((D$2:D$300=11)*(M$2:M$300=1),G$2:G$300))</f>
        <v>2727</v>
      </c>
      <c r="R317" s="77">
        <f aca="true" t="array" ref="R317">SUM(IF((D$2:D$300=11)*(M$2:M$300=2),G$2:G$300))</f>
        <v>0</v>
      </c>
      <c r="S317" s="77">
        <f aca="true" t="array" ref="S317">SUM(IF((D$2:D$300=11)*(M$2:M$300=3),G$2:G$300))</f>
        <v>0</v>
      </c>
      <c r="T317" s="77">
        <f aca="true" t="array" ref="T317">SUM(IF((D$2:D$300=11)*(M$2:M$300=4),G$2:G$300))</f>
        <v>0</v>
      </c>
      <c r="U317" s="77">
        <f aca="true" t="array" ref="U317">SUM(IF((D$2:D$300=11)*(M$2:M$300=5),G$2:G$300))</f>
        <v>9220</v>
      </c>
      <c r="V317" s="77">
        <f t="shared" si="2"/>
        <v>11947</v>
      </c>
      <c r="W317" s="77">
        <f t="shared" si="3"/>
        <v>0</v>
      </c>
      <c r="X317" s="77">
        <f t="shared" si="4"/>
        <v>11947</v>
      </c>
      <c r="Y317" s="77">
        <f aca="true" t="array" ref="Y317">SUM(IF((D$2:D$300=11)*(G$2:G$300&gt;0)*(K$2:K$300=10)*(M$2:M$300=""),G$2:G$300))</f>
        <v>0</v>
      </c>
    </row>
    <row r="318" spans="16:25" ht="13.5">
      <c r="P318" s="59" t="s">
        <v>95</v>
      </c>
      <c r="Q318" s="77">
        <f aca="true" t="array" ref="Q318">SUM(IF((D$2:D$300=12)*(M$2:M$300=1),G$2:G$300))</f>
        <v>6060</v>
      </c>
      <c r="R318" s="77">
        <f aca="true" t="array" ref="R318">SUM(IF((D$2:D$300=12)*(M$2:M$300=2),G$2:G$300))</f>
        <v>0</v>
      </c>
      <c r="S318" s="77">
        <f aca="true" t="array" ref="S318">SUM(IF((D$2:D$300=12)*(M$2:M$300=3),G$2:G$300))</f>
        <v>0</v>
      </c>
      <c r="T318" s="77">
        <f aca="true" t="array" ref="T318">SUM(IF((D$2:D$300=12)*(M$2:M$300=4),G$2:G$300))</f>
        <v>0</v>
      </c>
      <c r="U318" s="77">
        <f aca="true" t="array" ref="U318">SUM(IF((D$2:D$300=12)*(M$2:M$300=5),G$2:G$300))</f>
        <v>6000</v>
      </c>
      <c r="V318" s="77">
        <f t="shared" si="2"/>
        <v>12060</v>
      </c>
      <c r="W318" s="77">
        <f t="shared" si="3"/>
        <v>0</v>
      </c>
      <c r="X318" s="77">
        <f t="shared" si="4"/>
        <v>12060</v>
      </c>
      <c r="Y318" s="77">
        <f aca="true" t="array" ref="Y318">SUM(IF((D$2:D$300=12)*(G$2:G$300&gt;0)*(K$2:K$300=10)*(M$2:M$300=""),G$2:G$300))</f>
        <v>0</v>
      </c>
    </row>
    <row r="319" spans="16:25" ht="13.5">
      <c r="P319" s="59" t="s">
        <v>96</v>
      </c>
      <c r="Q319" s="77">
        <f aca="true" t="array" ref="Q319">SUM(IF((D$2:D$300=1)*(M$2:M$300=1),G$2:G$300))</f>
        <v>5759</v>
      </c>
      <c r="R319" s="77">
        <f aca="true" t="array" ref="R319">SUM(IF((D$2:D$300=1)*(M$2:M$300=2),G$2:G$300))</f>
        <v>0</v>
      </c>
      <c r="S319" s="77">
        <f aca="true" t="array" ref="S319">SUM(IF((D$2:D$300=1)*(M$2:M$300=3),G$2:G$300))</f>
        <v>0</v>
      </c>
      <c r="T319" s="77">
        <f aca="true" t="array" ref="T319">SUM(IF((D$2:D$300=1)*(M$2:M$300=4),G$2:G$300))</f>
        <v>0</v>
      </c>
      <c r="U319" s="77">
        <f aca="true" t="array" ref="U319">SUM(IF((D$2:D$300=1)*(M$2:M$300=5),G$2:G$300))</f>
        <v>6000</v>
      </c>
      <c r="V319" s="77">
        <f t="shared" si="2"/>
        <v>11759</v>
      </c>
      <c r="W319" s="77">
        <f t="shared" si="3"/>
        <v>0</v>
      </c>
      <c r="X319" s="77">
        <f t="shared" si="4"/>
        <v>11759</v>
      </c>
      <c r="Y319" s="77">
        <f aca="true" t="array" ref="Y319">SUM(IF((D$2:D$300=1)*(G$2:G$300&gt;0)*(K$2:K$300=10)*(M$2:M$300=""),G$2:G$300))</f>
        <v>0</v>
      </c>
    </row>
    <row r="320" spans="16:25" ht="13.5">
      <c r="P320" s="59" t="s">
        <v>97</v>
      </c>
      <c r="Q320" s="77">
        <f aca="true" t="array" ref="Q320">SUM(IF((D$2:D$300=2)*(M$2:M$300=1),G$2:G$300))</f>
        <v>0</v>
      </c>
      <c r="R320" s="77">
        <f aca="true" t="array" ref="R320">SUM(IF((D$2:D$300=2)*(M$2:M$300=2),G$2:G$300))</f>
        <v>0</v>
      </c>
      <c r="S320" s="77">
        <f aca="true" t="array" ref="S320">SUM(IF((D$2:D$300=2)*(M$2:M$300=3),G$2:G$300))</f>
        <v>0</v>
      </c>
      <c r="T320" s="77">
        <f aca="true" t="array" ref="T320">SUM(IF((D$2:D$300=2)*(M$2:M$300=4),G$2:G$300))</f>
        <v>0</v>
      </c>
      <c r="U320" s="77">
        <f aca="true" t="array" ref="U320">SUM(IF((D$2:D$300=2)*(M$2:M$300=5),G$2:G$300))</f>
        <v>6000</v>
      </c>
      <c r="V320" s="77">
        <f t="shared" si="2"/>
        <v>6000</v>
      </c>
      <c r="W320" s="77">
        <f t="shared" si="3"/>
        <v>0</v>
      </c>
      <c r="X320" s="77">
        <f t="shared" si="4"/>
        <v>6000</v>
      </c>
      <c r="Y320" s="77">
        <f aca="true" t="array" ref="Y320">SUM(IF((D$2:D$300=2)*(G$2:G$300&gt;0)*(K$2:K$300=10)*(M$2:M$300=""),G$2:G$300))</f>
        <v>0</v>
      </c>
    </row>
    <row r="321" spans="16:25" ht="13.5">
      <c r="P321" s="59" t="s">
        <v>98</v>
      </c>
      <c r="Q321" s="77">
        <f aca="true" t="array" ref="Q321">SUM(IF((D$2:D$300=3)*(M$2:M$300=1),G$2:G$300))</f>
        <v>0</v>
      </c>
      <c r="R321" s="77">
        <f aca="true" t="array" ref="R321">SUM(IF((D$2:D$300=3)*(M$2:M$300=2),G$2:G$300))</f>
        <v>0</v>
      </c>
      <c r="S321" s="77">
        <f aca="true" t="array" ref="S321">SUM(IF((D$2:D$300=3)*(M$2:M$300=3),G$2:G$300))</f>
        <v>33800</v>
      </c>
      <c r="T321" s="77">
        <f aca="true" t="array" ref="T321">SUM(IF((D$2:D$300=3)*(M$2:M$300=4),G$2:G$300))</f>
        <v>0</v>
      </c>
      <c r="U321" s="77">
        <f aca="true" t="array" ref="U321">SUM(IF((D$2:D$300=3)*(M$2:M$300=5),G$2:G$300))</f>
        <v>9000</v>
      </c>
      <c r="V321" s="77">
        <f t="shared" si="2"/>
        <v>42800</v>
      </c>
      <c r="W321" s="77">
        <f>IF(V321&gt;50000,50000,0)</f>
        <v>0</v>
      </c>
      <c r="X321" s="77">
        <f t="shared" si="4"/>
        <v>42800</v>
      </c>
      <c r="Y321" s="77">
        <f aca="true" t="array" ref="Y321">SUM(IF((D$2:D$300=3)*(G$2:G$300&gt;0)*(K$2:K$300=10)*(M$2:M$300=""),G$2:G$300))</f>
        <v>0</v>
      </c>
    </row>
    <row r="322" spans="16:25" ht="13.5">
      <c r="P322" s="59" t="s">
        <v>28</v>
      </c>
      <c r="Q322" s="77">
        <f aca="true" t="shared" si="5" ref="Q322:Y322">SUM(Q310:Q321)</f>
        <v>49193</v>
      </c>
      <c r="R322" s="77">
        <f t="shared" si="5"/>
        <v>19348</v>
      </c>
      <c r="S322" s="77">
        <f t="shared" si="5"/>
        <v>33800</v>
      </c>
      <c r="T322" s="77">
        <f t="shared" si="5"/>
        <v>0</v>
      </c>
      <c r="U322" s="77">
        <f t="shared" si="5"/>
        <v>59220</v>
      </c>
      <c r="V322" s="77">
        <f t="shared" si="5"/>
        <v>161561</v>
      </c>
      <c r="W322" s="77">
        <f t="shared" si="5"/>
        <v>0</v>
      </c>
      <c r="X322" s="77">
        <f t="shared" si="5"/>
        <v>161561</v>
      </c>
      <c r="Y322" s="77">
        <f t="shared" si="5"/>
        <v>280</v>
      </c>
    </row>
  </sheetData>
  <sheetProtection formatCells="0" insertRows="0" autoFilter="0"/>
  <protectedRanges>
    <protectedRange sqref="K164:K300 B164:G300 I2:I300" name="範囲1"/>
    <protectedRange sqref="C101:G163 E29:E30 E27 B26:G26 B5:F5 E37:E77 F27:G79 E81 F81:G85 E83:E85 D27:D89 E86:G89 C27:C100 D90:G100 B27:B163 G2:G5 B2:F3 B4:D4 F4" name="範囲1_61"/>
    <protectedRange sqref="E4 E28 B6:G25 E31:E36 E82 F80:G80 E78:E80" name="範囲1_1_8"/>
    <protectedRange sqref="K2:K5 K31:K163" name="範囲1_62"/>
    <protectedRange sqref="K6:K30" name="範囲1_2_7"/>
  </protectedRanges>
  <autoFilter ref="J1:J312"/>
  <mergeCells count="1">
    <mergeCell ref="P308:T308"/>
  </mergeCells>
  <dataValidations count="1">
    <dataValidation allowBlank="1" showInputMessage="1" showErrorMessage="1" imeMode="on" sqref="E2:E300"/>
  </dataValidations>
  <printOptions/>
  <pageMargins left="0.75" right="0.27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40">
      <selection activeCell="X7" sqref="X7:AC7"/>
    </sheetView>
  </sheetViews>
  <sheetFormatPr defaultColWidth="9.00390625" defaultRowHeight="13.5"/>
  <cols>
    <col min="1" max="40" width="2.875" style="0" customWidth="1"/>
  </cols>
  <sheetData>
    <row r="1" spans="1:40" ht="13.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3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9" t="s">
        <v>9</v>
      </c>
      <c r="Y3" s="119"/>
      <c r="Z3" s="2"/>
      <c r="AA3" s="2" t="s">
        <v>11</v>
      </c>
      <c r="AB3" s="2"/>
      <c r="AC3" s="2" t="s">
        <v>12</v>
      </c>
      <c r="AD3" s="2"/>
      <c r="AE3" s="2" t="s">
        <v>13</v>
      </c>
      <c r="AF3" s="2"/>
      <c r="AG3" s="2"/>
      <c r="AI3" s="2"/>
      <c r="AJ3" s="2"/>
      <c r="AL3" s="2"/>
      <c r="AM3" s="2"/>
    </row>
    <row r="4" spans="1:40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3.5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 t="s">
        <v>14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39" ht="2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4" t="s">
        <v>145</v>
      </c>
      <c r="Y7" s="124"/>
      <c r="Z7" s="124"/>
      <c r="AA7" s="124"/>
      <c r="AB7" s="124"/>
      <c r="AC7" s="124"/>
      <c r="AD7" s="2"/>
      <c r="AE7" s="2" t="s">
        <v>31</v>
      </c>
      <c r="AF7" s="2"/>
      <c r="AG7" s="2"/>
      <c r="AH7" s="2"/>
      <c r="AI7" s="2"/>
      <c r="AJ7" s="2"/>
      <c r="AK7" s="2"/>
      <c r="AL7" s="2"/>
      <c r="AM7" s="2"/>
    </row>
    <row r="8" spans="1:4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8" customHeight="1">
      <c r="A11" s="2"/>
      <c r="B11" s="22" t="s">
        <v>32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8" customHeight="1">
      <c r="A12" s="119" t="s">
        <v>9</v>
      </c>
      <c r="B12" s="119"/>
      <c r="C12" s="22"/>
      <c r="D12" s="2" t="s">
        <v>15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7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16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8.75">
      <c r="A16" s="2" t="s">
        <v>3</v>
      </c>
      <c r="B16" s="2"/>
      <c r="C16" s="2"/>
      <c r="D16" s="2"/>
      <c r="E16" s="2"/>
      <c r="F16" s="22" t="s">
        <v>5</v>
      </c>
      <c r="G16" s="22"/>
      <c r="H16" s="2"/>
      <c r="I16" s="2"/>
      <c r="J16" s="2"/>
      <c r="K16" s="2"/>
      <c r="L16" s="123">
        <f>'政務調査費出納簿'!F311</f>
        <v>960000</v>
      </c>
      <c r="M16" s="123"/>
      <c r="N16" s="123"/>
      <c r="O16" s="123"/>
      <c r="P16" s="123"/>
      <c r="Q16" s="123"/>
      <c r="R16" s="9" t="s"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>
      <c r="A18" s="2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7.25" customHeight="1">
      <c r="A20" s="2"/>
      <c r="B20" s="3"/>
      <c r="C20" s="109" t="s">
        <v>2</v>
      </c>
      <c r="D20" s="109"/>
      <c r="E20" s="109"/>
      <c r="F20" s="109"/>
      <c r="G20" s="109"/>
      <c r="H20" s="109"/>
      <c r="I20" s="4"/>
      <c r="J20" s="3"/>
      <c r="K20" s="109" t="s">
        <v>26</v>
      </c>
      <c r="L20" s="109"/>
      <c r="M20" s="109"/>
      <c r="N20" s="109"/>
      <c r="O20" s="109"/>
      <c r="P20" s="109"/>
      <c r="Q20" s="109"/>
      <c r="R20" s="4"/>
      <c r="S20" s="3"/>
      <c r="T20" s="109" t="s">
        <v>27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5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33" customHeight="1">
      <c r="A21" s="2"/>
      <c r="B21" s="11"/>
      <c r="C21" s="117" t="s">
        <v>18</v>
      </c>
      <c r="D21" s="117"/>
      <c r="E21" s="117"/>
      <c r="F21" s="117"/>
      <c r="G21" s="117"/>
      <c r="H21" s="117"/>
      <c r="I21" s="12"/>
      <c r="J21" s="11"/>
      <c r="K21" s="12"/>
      <c r="L21" s="122">
        <f>'政務調査費出納簿'!G301</f>
        <v>10400</v>
      </c>
      <c r="M21" s="122"/>
      <c r="N21" s="122"/>
      <c r="O21" s="122"/>
      <c r="P21" s="122"/>
      <c r="Q21" s="122"/>
      <c r="R21" s="12" t="s">
        <v>0</v>
      </c>
      <c r="S21" s="108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0"/>
      <c r="AF21" s="6"/>
      <c r="AG21" s="6"/>
      <c r="AH21" s="6"/>
      <c r="AI21" s="17"/>
      <c r="AJ21" s="6"/>
      <c r="AK21" s="6"/>
      <c r="AL21" s="6"/>
      <c r="AM21" s="6"/>
      <c r="AN21" s="6"/>
    </row>
    <row r="22" spans="1:40" ht="33" customHeight="1">
      <c r="A22" s="2"/>
      <c r="B22" s="11"/>
      <c r="C22" s="117" t="s">
        <v>19</v>
      </c>
      <c r="D22" s="117"/>
      <c r="E22" s="117"/>
      <c r="F22" s="117"/>
      <c r="G22" s="117"/>
      <c r="H22" s="117"/>
      <c r="I22" s="12"/>
      <c r="J22" s="11"/>
      <c r="K22" s="12"/>
      <c r="L22" s="122">
        <f>'政務調査費出納簿'!G302</f>
        <v>0</v>
      </c>
      <c r="M22" s="122"/>
      <c r="N22" s="122"/>
      <c r="O22" s="122"/>
      <c r="P22" s="122"/>
      <c r="Q22" s="122"/>
      <c r="R22" s="12" t="s">
        <v>0</v>
      </c>
      <c r="S22" s="108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10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33" customHeight="1">
      <c r="A23" s="2"/>
      <c r="B23" s="11"/>
      <c r="C23" s="117" t="s">
        <v>20</v>
      </c>
      <c r="D23" s="117"/>
      <c r="E23" s="117"/>
      <c r="F23" s="117"/>
      <c r="G23" s="117"/>
      <c r="H23" s="117"/>
      <c r="I23" s="12"/>
      <c r="J23" s="11"/>
      <c r="K23" s="12"/>
      <c r="L23" s="122">
        <f>'政務調査費出納簿'!G303</f>
        <v>5534</v>
      </c>
      <c r="M23" s="122"/>
      <c r="N23" s="122"/>
      <c r="O23" s="122"/>
      <c r="P23" s="122"/>
      <c r="Q23" s="122"/>
      <c r="R23" s="12" t="s">
        <v>0</v>
      </c>
      <c r="S23" s="108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33" customHeight="1">
      <c r="A24" s="2"/>
      <c r="B24" s="11"/>
      <c r="C24" s="117" t="s">
        <v>21</v>
      </c>
      <c r="D24" s="117"/>
      <c r="E24" s="117"/>
      <c r="F24" s="117"/>
      <c r="G24" s="117"/>
      <c r="H24" s="117"/>
      <c r="I24" s="12"/>
      <c r="J24" s="11"/>
      <c r="K24" s="12"/>
      <c r="L24" s="122">
        <f>'政務調査費出納簿'!G304</f>
        <v>61355</v>
      </c>
      <c r="M24" s="122"/>
      <c r="N24" s="122"/>
      <c r="O24" s="122"/>
      <c r="P24" s="122"/>
      <c r="Q24" s="122"/>
      <c r="R24" s="12" t="s">
        <v>0</v>
      </c>
      <c r="S24" s="108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10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33" customHeight="1">
      <c r="A25" s="2"/>
      <c r="B25" s="11"/>
      <c r="C25" s="117" t="s">
        <v>69</v>
      </c>
      <c r="D25" s="117"/>
      <c r="E25" s="117"/>
      <c r="F25" s="117"/>
      <c r="G25" s="117"/>
      <c r="H25" s="117"/>
      <c r="I25" s="12"/>
      <c r="J25" s="11"/>
      <c r="K25" s="12"/>
      <c r="L25" s="122">
        <f>'政務調査費出納簿'!G305</f>
        <v>1096481</v>
      </c>
      <c r="M25" s="122"/>
      <c r="N25" s="122"/>
      <c r="O25" s="122"/>
      <c r="P25" s="122"/>
      <c r="Q25" s="122"/>
      <c r="R25" s="12" t="s">
        <v>0</v>
      </c>
      <c r="S25" s="108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33" customHeight="1">
      <c r="A26" s="2"/>
      <c r="B26" s="11"/>
      <c r="C26" s="117" t="s">
        <v>70</v>
      </c>
      <c r="D26" s="117"/>
      <c r="E26" s="117"/>
      <c r="F26" s="117"/>
      <c r="G26" s="117"/>
      <c r="H26" s="117"/>
      <c r="I26" s="12"/>
      <c r="J26" s="11"/>
      <c r="K26" s="12"/>
      <c r="L26" s="122">
        <f>'政務調査費出納簿'!G306</f>
        <v>0</v>
      </c>
      <c r="M26" s="122"/>
      <c r="N26" s="122"/>
      <c r="O26" s="122"/>
      <c r="P26" s="122"/>
      <c r="Q26" s="122"/>
      <c r="R26" s="12" t="s">
        <v>0</v>
      </c>
      <c r="S26" s="108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10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33" customHeight="1">
      <c r="A27" s="2"/>
      <c r="B27" s="11"/>
      <c r="C27" s="117" t="s">
        <v>22</v>
      </c>
      <c r="D27" s="117"/>
      <c r="E27" s="117"/>
      <c r="F27" s="117"/>
      <c r="G27" s="117"/>
      <c r="H27" s="117"/>
      <c r="I27" s="12"/>
      <c r="J27" s="11"/>
      <c r="K27" s="12"/>
      <c r="L27" s="122">
        <f>'政務調査費出納簿'!G307</f>
        <v>100000</v>
      </c>
      <c r="M27" s="122"/>
      <c r="N27" s="122"/>
      <c r="O27" s="122"/>
      <c r="P27" s="122"/>
      <c r="Q27" s="122"/>
      <c r="R27" s="12" t="s">
        <v>0</v>
      </c>
      <c r="S27" s="108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10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33" customHeight="1">
      <c r="A28" s="2"/>
      <c r="B28" s="11"/>
      <c r="C28" s="117" t="s">
        <v>23</v>
      </c>
      <c r="D28" s="117"/>
      <c r="E28" s="117"/>
      <c r="F28" s="117"/>
      <c r="G28" s="117"/>
      <c r="H28" s="117"/>
      <c r="I28" s="12"/>
      <c r="J28" s="11"/>
      <c r="K28" s="12"/>
      <c r="L28" s="122">
        <f>'政務調査費出納簿'!G308</f>
        <v>23536</v>
      </c>
      <c r="M28" s="122"/>
      <c r="N28" s="122"/>
      <c r="O28" s="122"/>
      <c r="P28" s="122"/>
      <c r="Q28" s="122"/>
      <c r="R28" s="12" t="s">
        <v>0</v>
      </c>
      <c r="S28" s="108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10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33" customHeight="1">
      <c r="A29" s="2"/>
      <c r="B29" s="11"/>
      <c r="C29" s="117" t="s">
        <v>24</v>
      </c>
      <c r="D29" s="117"/>
      <c r="E29" s="117"/>
      <c r="F29" s="117"/>
      <c r="G29" s="117"/>
      <c r="H29" s="117"/>
      <c r="I29" s="12"/>
      <c r="J29" s="11"/>
      <c r="K29" s="12"/>
      <c r="L29" s="122">
        <f>'政務調査費出納簿'!G309</f>
        <v>0</v>
      </c>
      <c r="M29" s="122"/>
      <c r="N29" s="122"/>
      <c r="O29" s="122"/>
      <c r="P29" s="122"/>
      <c r="Q29" s="122"/>
      <c r="R29" s="12" t="s">
        <v>0</v>
      </c>
      <c r="S29" s="108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10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33" customHeight="1" thickBot="1">
      <c r="A30" s="2"/>
      <c r="B30" s="14"/>
      <c r="C30" s="120" t="s">
        <v>25</v>
      </c>
      <c r="D30" s="120"/>
      <c r="E30" s="120"/>
      <c r="F30" s="120"/>
      <c r="G30" s="120"/>
      <c r="H30" s="120"/>
      <c r="I30" s="15"/>
      <c r="J30" s="14"/>
      <c r="K30" s="15"/>
      <c r="L30" s="131">
        <f>'政務調査費出納簿'!G310</f>
        <v>161841</v>
      </c>
      <c r="M30" s="131"/>
      <c r="N30" s="131"/>
      <c r="O30" s="131"/>
      <c r="P30" s="131"/>
      <c r="Q30" s="131"/>
      <c r="R30" s="15" t="s">
        <v>0</v>
      </c>
      <c r="S30" s="114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7.75" customHeight="1" thickTop="1">
      <c r="A31" s="2"/>
      <c r="B31" s="8"/>
      <c r="C31" s="16"/>
      <c r="D31" s="121" t="s">
        <v>28</v>
      </c>
      <c r="E31" s="121"/>
      <c r="F31" s="121"/>
      <c r="G31" s="121"/>
      <c r="H31" s="16"/>
      <c r="I31" s="9"/>
      <c r="J31" s="8"/>
      <c r="K31" s="9"/>
      <c r="L31" s="118">
        <f>SUM(L21:Q30)</f>
        <v>1459147</v>
      </c>
      <c r="M31" s="118"/>
      <c r="N31" s="118"/>
      <c r="O31" s="118"/>
      <c r="P31" s="118"/>
      <c r="Q31" s="118"/>
      <c r="R31" s="9" t="s">
        <v>0</v>
      </c>
      <c r="S31" s="111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3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22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2" ht="18.75">
      <c r="A33" s="2" t="s">
        <v>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23">
        <f>IF((L16-L31)&lt;=0,0,L16-L31)</f>
        <v>0</v>
      </c>
      <c r="M33" s="123"/>
      <c r="N33" s="123"/>
      <c r="O33" s="123"/>
      <c r="P33" s="123"/>
      <c r="Q33" s="123"/>
      <c r="R33" s="9" t="s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P33" s="1"/>
    </row>
    <row r="34" spans="1:3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  <c r="Y35" s="21"/>
      <c r="Z35" s="117" t="s">
        <v>29</v>
      </c>
      <c r="AA35" s="117"/>
      <c r="AB35" s="117"/>
      <c r="AC35" s="117"/>
      <c r="AD35" s="117"/>
      <c r="AE35" s="13"/>
    </row>
    <row r="36" spans="1:3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6"/>
      <c r="Y36" s="127" t="s">
        <v>1</v>
      </c>
      <c r="Z36" s="128"/>
      <c r="AA36" s="129"/>
      <c r="AB36" s="130"/>
      <c r="AC36" s="130"/>
      <c r="AD36" s="130"/>
      <c r="AE36" s="128"/>
    </row>
    <row r="37" spans="1:3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  <c r="Y37" s="3"/>
      <c r="Z37" s="5"/>
      <c r="AA37" s="18"/>
      <c r="AB37" s="19"/>
      <c r="AC37" s="19"/>
      <c r="AD37" s="19"/>
      <c r="AE37" s="20"/>
    </row>
    <row r="38" spans="1:3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6"/>
      <c r="Y38" s="125" t="s">
        <v>30</v>
      </c>
      <c r="Z38" s="126"/>
      <c r="AA38" s="6"/>
      <c r="AB38" s="6"/>
      <c r="AC38" s="6"/>
      <c r="AD38" s="6"/>
      <c r="AE38" s="7"/>
    </row>
    <row r="39" spans="1:3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6"/>
      <c r="Y39" s="125" t="s">
        <v>17</v>
      </c>
      <c r="Z39" s="126"/>
      <c r="AA39" s="6"/>
      <c r="AB39" s="6"/>
      <c r="AC39" s="6"/>
      <c r="AD39" s="6"/>
      <c r="AE39" s="7"/>
    </row>
    <row r="40" spans="1:4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6"/>
      <c r="Y40" s="8"/>
      <c r="Z40" s="10"/>
      <c r="AA40" s="9"/>
      <c r="AB40" s="9"/>
      <c r="AC40" s="9"/>
      <c r="AD40" s="9"/>
      <c r="AE40" s="10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</sheetData>
  <sheetProtection/>
  <protectedRanges>
    <protectedRange sqref="Z3 AB3 AD3 X7 C12 S21:AE31 AA36" name="範囲1"/>
  </protectedRanges>
  <mergeCells count="46">
    <mergeCell ref="Y38:Z38"/>
    <mergeCell ref="Y39:Z39"/>
    <mergeCell ref="L22:Q22"/>
    <mergeCell ref="L23:Q23"/>
    <mergeCell ref="Z35:AD35"/>
    <mergeCell ref="Y36:Z36"/>
    <mergeCell ref="AA36:AE36"/>
    <mergeCell ref="L33:Q33"/>
    <mergeCell ref="L29:Q29"/>
    <mergeCell ref="L30:Q30"/>
    <mergeCell ref="L28:Q28"/>
    <mergeCell ref="L24:Q24"/>
    <mergeCell ref="L25:Q25"/>
    <mergeCell ref="L26:Q26"/>
    <mergeCell ref="L27:Q27"/>
    <mergeCell ref="C24:H24"/>
    <mergeCell ref="C26:H26"/>
    <mergeCell ref="C27:H27"/>
    <mergeCell ref="X3:Y3"/>
    <mergeCell ref="T20:AD20"/>
    <mergeCell ref="L21:Q21"/>
    <mergeCell ref="C20:H20"/>
    <mergeCell ref="K20:Q20"/>
    <mergeCell ref="L16:Q16"/>
    <mergeCell ref="X7:AC7"/>
    <mergeCell ref="C25:H25"/>
    <mergeCell ref="L31:Q31"/>
    <mergeCell ref="A12:B12"/>
    <mergeCell ref="C29:H29"/>
    <mergeCell ref="C30:H30"/>
    <mergeCell ref="D31:G31"/>
    <mergeCell ref="C28:H28"/>
    <mergeCell ref="C21:H21"/>
    <mergeCell ref="C22:H22"/>
    <mergeCell ref="C23:H23"/>
    <mergeCell ref="S31:AE31"/>
    <mergeCell ref="S30:AE30"/>
    <mergeCell ref="S29:AE29"/>
    <mergeCell ref="S28:AE28"/>
    <mergeCell ref="S23:AE23"/>
    <mergeCell ref="S22:AE22"/>
    <mergeCell ref="S21:AE21"/>
    <mergeCell ref="S27:AE27"/>
    <mergeCell ref="S26:AE26"/>
    <mergeCell ref="S25:AE25"/>
    <mergeCell ref="S24:AE24"/>
  </mergeCells>
  <printOptions/>
  <pageMargins left="0.88" right="0.54" top="0.58" bottom="0.36" header="0.512" footer="0.2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1">
      <selection activeCell="A90" sqref="A90"/>
    </sheetView>
  </sheetViews>
  <sheetFormatPr defaultColWidth="9.00390625" defaultRowHeight="13.5"/>
  <cols>
    <col min="1" max="1" width="41.625" style="0" customWidth="1"/>
    <col min="2" max="2" width="23.625" style="0" customWidth="1"/>
    <col min="3" max="3" width="2.875" style="0" customWidth="1"/>
    <col min="4" max="4" width="25.125" style="0" customWidth="1"/>
  </cols>
  <sheetData>
    <row r="1" spans="2:4" ht="24" customHeight="1">
      <c r="B1" s="132" t="s">
        <v>119</v>
      </c>
      <c r="C1" s="132"/>
      <c r="D1" s="101" t="s">
        <v>145</v>
      </c>
    </row>
    <row r="2" spans="1:4" ht="18.75">
      <c r="A2" s="58" t="s">
        <v>67</v>
      </c>
      <c r="B2" s="33">
        <f>'収支報告書'!L21</f>
        <v>10400</v>
      </c>
      <c r="C2" s="9" t="s">
        <v>0</v>
      </c>
      <c r="D2" s="35"/>
    </row>
    <row r="3" spans="1:4" ht="13.5">
      <c r="A3" s="2"/>
      <c r="B3" s="2"/>
      <c r="C3" s="2"/>
      <c r="D3" s="2"/>
    </row>
    <row r="4" spans="1:4" ht="13.5">
      <c r="A4" s="23" t="s">
        <v>33</v>
      </c>
      <c r="B4" s="108" t="s">
        <v>35</v>
      </c>
      <c r="C4" s="110"/>
      <c r="D4" s="23" t="s">
        <v>27</v>
      </c>
    </row>
    <row r="5" spans="1:4" ht="25.5" customHeight="1">
      <c r="A5" s="96" t="s">
        <v>136</v>
      </c>
      <c r="B5" s="105">
        <v>2400</v>
      </c>
      <c r="C5" s="25" t="s">
        <v>0</v>
      </c>
      <c r="D5" s="26"/>
    </row>
    <row r="6" spans="1:4" ht="25.5" customHeight="1">
      <c r="A6" s="26" t="s">
        <v>146</v>
      </c>
      <c r="B6" s="105">
        <v>4000</v>
      </c>
      <c r="C6" s="25" t="s">
        <v>0</v>
      </c>
      <c r="D6" s="26"/>
    </row>
    <row r="7" spans="1:4" ht="25.5" customHeight="1">
      <c r="A7" s="26" t="s">
        <v>139</v>
      </c>
      <c r="B7" s="105">
        <v>2000</v>
      </c>
      <c r="C7" s="25" t="s">
        <v>0</v>
      </c>
      <c r="D7" s="26"/>
    </row>
    <row r="8" spans="1:4" ht="25.5" customHeight="1">
      <c r="A8" s="26" t="s">
        <v>147</v>
      </c>
      <c r="B8" s="105">
        <v>1000</v>
      </c>
      <c r="C8" s="25" t="s">
        <v>0</v>
      </c>
      <c r="D8" s="26"/>
    </row>
    <row r="9" spans="1:4" ht="25.5" customHeight="1">
      <c r="A9" s="26" t="s">
        <v>34</v>
      </c>
      <c r="B9" s="34">
        <f>B2-B5-B6-B7-B8</f>
        <v>1000</v>
      </c>
      <c r="C9" s="25" t="s">
        <v>0</v>
      </c>
      <c r="D9" s="26"/>
    </row>
    <row r="10" spans="1:4" ht="30" customHeight="1">
      <c r="A10" s="2"/>
      <c r="B10" s="2"/>
      <c r="C10" s="2"/>
      <c r="D10" s="2"/>
    </row>
    <row r="11" spans="1:4" ht="18.75">
      <c r="A11" s="58" t="s">
        <v>66</v>
      </c>
      <c r="B11" s="33">
        <f>'収支報告書'!L22</f>
        <v>0</v>
      </c>
      <c r="C11" s="9" t="s">
        <v>0</v>
      </c>
      <c r="D11" s="2"/>
    </row>
    <row r="12" spans="1:4" ht="13.5">
      <c r="A12" s="2"/>
      <c r="B12" s="2"/>
      <c r="C12" s="2"/>
      <c r="D12" s="2"/>
    </row>
    <row r="13" spans="1:4" ht="13.5">
      <c r="A13" s="23" t="s">
        <v>33</v>
      </c>
      <c r="B13" s="108" t="s">
        <v>35</v>
      </c>
      <c r="C13" s="110"/>
      <c r="D13" s="23" t="s">
        <v>27</v>
      </c>
    </row>
    <row r="14" spans="1:4" ht="25.5" customHeight="1">
      <c r="A14" s="24"/>
      <c r="B14" s="34"/>
      <c r="C14" s="25" t="s">
        <v>0</v>
      </c>
      <c r="D14" s="26"/>
    </row>
    <row r="15" spans="1:4" ht="25.5" customHeight="1">
      <c r="A15" s="24"/>
      <c r="B15" s="34"/>
      <c r="C15" s="25" t="s">
        <v>0</v>
      </c>
      <c r="D15" s="26"/>
    </row>
    <row r="16" spans="1:4" ht="25.5" customHeight="1">
      <c r="A16" s="26"/>
      <c r="B16" s="34"/>
      <c r="C16" s="25" t="s">
        <v>0</v>
      </c>
      <c r="D16" s="26"/>
    </row>
    <row r="17" spans="1:4" ht="25.5" customHeight="1">
      <c r="A17" s="26"/>
      <c r="B17" s="34"/>
      <c r="C17" s="25" t="s">
        <v>0</v>
      </c>
      <c r="D17" s="26"/>
    </row>
    <row r="18" spans="1:4" ht="25.5" customHeight="1">
      <c r="A18" s="26" t="s">
        <v>34</v>
      </c>
      <c r="B18" s="34">
        <f>B11-B14-B15-B16-B17</f>
        <v>0</v>
      </c>
      <c r="C18" s="25" t="s">
        <v>0</v>
      </c>
      <c r="D18" s="26"/>
    </row>
    <row r="19" spans="1:4" ht="30" customHeight="1">
      <c r="A19" s="2"/>
      <c r="B19" s="2"/>
      <c r="C19" s="2"/>
      <c r="D19" s="2"/>
    </row>
    <row r="20" spans="1:4" ht="18.75">
      <c r="A20" s="58" t="s">
        <v>65</v>
      </c>
      <c r="B20" s="33">
        <f>'収支報告書'!L23</f>
        <v>5534</v>
      </c>
      <c r="C20" s="9" t="s">
        <v>0</v>
      </c>
      <c r="D20" s="2"/>
    </row>
    <row r="21" spans="1:4" ht="13.5">
      <c r="A21" s="2"/>
      <c r="B21" s="2"/>
      <c r="C21" s="2"/>
      <c r="D21" s="2"/>
    </row>
    <row r="22" spans="1:4" ht="13.5">
      <c r="A22" s="23" t="s">
        <v>33</v>
      </c>
      <c r="B22" s="108" t="s">
        <v>35</v>
      </c>
      <c r="C22" s="110"/>
      <c r="D22" s="23" t="s">
        <v>27</v>
      </c>
    </row>
    <row r="23" spans="1:4" ht="25.5" customHeight="1">
      <c r="A23" s="96" t="s">
        <v>125</v>
      </c>
      <c r="B23" s="105">
        <v>1198</v>
      </c>
      <c r="C23" s="25" t="s">
        <v>0</v>
      </c>
      <c r="D23" s="26"/>
    </row>
    <row r="24" spans="1:4" ht="25.5" customHeight="1">
      <c r="A24" s="26" t="s">
        <v>125</v>
      </c>
      <c r="B24" s="105">
        <v>1198</v>
      </c>
      <c r="C24" s="25" t="s">
        <v>0</v>
      </c>
      <c r="D24" s="26"/>
    </row>
    <row r="25" spans="1:4" ht="25.5" customHeight="1">
      <c r="A25" s="26" t="s">
        <v>125</v>
      </c>
      <c r="B25" s="105">
        <v>1940</v>
      </c>
      <c r="C25" s="25" t="s">
        <v>0</v>
      </c>
      <c r="D25" s="26"/>
    </row>
    <row r="26" spans="1:4" ht="25.5" customHeight="1">
      <c r="A26" s="106" t="s">
        <v>125</v>
      </c>
      <c r="B26" s="105">
        <v>1198</v>
      </c>
      <c r="C26" s="25" t="s">
        <v>0</v>
      </c>
      <c r="D26" s="26"/>
    </row>
    <row r="27" spans="1:4" ht="25.5" customHeight="1">
      <c r="A27" s="26" t="s">
        <v>34</v>
      </c>
      <c r="B27" s="34">
        <f>B20-B23-B24-B25-B26</f>
        <v>0</v>
      </c>
      <c r="C27" s="25" t="s">
        <v>0</v>
      </c>
      <c r="D27" s="26"/>
    </row>
    <row r="28" spans="1:4" ht="30" customHeight="1">
      <c r="A28" s="2"/>
      <c r="B28" s="2"/>
      <c r="C28" s="2"/>
      <c r="D28" s="2"/>
    </row>
    <row r="29" spans="1:4" ht="18.75">
      <c r="A29" s="58" t="s">
        <v>64</v>
      </c>
      <c r="B29" s="33">
        <f>'収支報告書'!L24</f>
        <v>61355</v>
      </c>
      <c r="C29" s="9" t="s">
        <v>0</v>
      </c>
      <c r="D29" s="2"/>
    </row>
    <row r="30" spans="1:4" ht="13.5">
      <c r="A30" s="2"/>
      <c r="B30" s="2"/>
      <c r="C30" s="2"/>
      <c r="D30" s="2"/>
    </row>
    <row r="31" spans="1:4" ht="13.5">
      <c r="A31" s="23" t="s">
        <v>33</v>
      </c>
      <c r="B31" s="108" t="s">
        <v>35</v>
      </c>
      <c r="C31" s="110"/>
      <c r="D31" s="23" t="s">
        <v>27</v>
      </c>
    </row>
    <row r="32" spans="1:4" ht="25.5" customHeight="1">
      <c r="A32" s="26" t="s">
        <v>120</v>
      </c>
      <c r="B32" s="34">
        <v>43175</v>
      </c>
      <c r="C32" s="25" t="s">
        <v>0</v>
      </c>
      <c r="D32" s="26"/>
    </row>
    <row r="33" spans="1:4" ht="25.5" customHeight="1">
      <c r="A33" s="26" t="s">
        <v>126</v>
      </c>
      <c r="B33" s="34">
        <v>1680</v>
      </c>
      <c r="C33" s="25" t="s">
        <v>0</v>
      </c>
      <c r="D33" s="26"/>
    </row>
    <row r="34" spans="1:4" ht="25.5" customHeight="1">
      <c r="A34" s="26" t="s">
        <v>148</v>
      </c>
      <c r="B34" s="34">
        <v>2500</v>
      </c>
      <c r="C34" s="25" t="s">
        <v>0</v>
      </c>
      <c r="D34" s="26"/>
    </row>
    <row r="35" spans="1:4" ht="25.5" customHeight="1">
      <c r="A35" s="26" t="s">
        <v>149</v>
      </c>
      <c r="B35" s="34">
        <v>4000</v>
      </c>
      <c r="C35" s="25" t="s">
        <v>0</v>
      </c>
      <c r="D35" s="26"/>
    </row>
    <row r="36" spans="1:4" ht="25.5" customHeight="1">
      <c r="A36" s="26" t="s">
        <v>34</v>
      </c>
      <c r="B36" s="34">
        <f>B29-B32-B33-B34-B35</f>
        <v>10000</v>
      </c>
      <c r="C36" s="25" t="s">
        <v>0</v>
      </c>
      <c r="D36" s="26"/>
    </row>
    <row r="37" spans="1:3" ht="30" customHeight="1">
      <c r="A37" s="6"/>
      <c r="B37" s="100"/>
      <c r="C37" s="100"/>
    </row>
    <row r="38" spans="1:4" ht="18.75">
      <c r="A38" s="58" t="s">
        <v>68</v>
      </c>
      <c r="B38" s="33">
        <f>'収支報告書'!L25</f>
        <v>1096481</v>
      </c>
      <c r="C38" s="9" t="s">
        <v>0</v>
      </c>
      <c r="D38" s="2"/>
    </row>
    <row r="39" spans="1:4" ht="13.5">
      <c r="A39" s="2"/>
      <c r="B39" s="2"/>
      <c r="C39" s="2"/>
      <c r="D39" s="2"/>
    </row>
    <row r="40" spans="1:4" ht="13.5">
      <c r="A40" s="23" t="s">
        <v>33</v>
      </c>
      <c r="B40" s="108" t="s">
        <v>35</v>
      </c>
      <c r="C40" s="110"/>
      <c r="D40" s="23" t="s">
        <v>27</v>
      </c>
    </row>
    <row r="41" spans="1:4" ht="25.5" customHeight="1">
      <c r="A41" s="26" t="s">
        <v>150</v>
      </c>
      <c r="B41" s="34">
        <v>273000</v>
      </c>
      <c r="C41" s="25" t="s">
        <v>0</v>
      </c>
      <c r="D41" s="26"/>
    </row>
    <row r="42" spans="1:4" ht="25.5" customHeight="1">
      <c r="A42" s="26" t="s">
        <v>151</v>
      </c>
      <c r="B42" s="34">
        <v>284340</v>
      </c>
      <c r="C42" s="25" t="s">
        <v>0</v>
      </c>
      <c r="D42" s="26"/>
    </row>
    <row r="43" spans="1:4" ht="25.5" customHeight="1">
      <c r="A43" s="26" t="s">
        <v>151</v>
      </c>
      <c r="B43" s="34">
        <v>284340</v>
      </c>
      <c r="C43" s="25" t="s">
        <v>0</v>
      </c>
      <c r="D43" s="26"/>
    </row>
    <row r="44" spans="1:4" ht="25.5" customHeight="1">
      <c r="A44" s="26" t="s">
        <v>151</v>
      </c>
      <c r="B44" s="34">
        <v>254801</v>
      </c>
      <c r="C44" s="25" t="s">
        <v>0</v>
      </c>
      <c r="D44" s="26"/>
    </row>
    <row r="45" spans="1:4" ht="25.5" customHeight="1">
      <c r="A45" s="26" t="s">
        <v>34</v>
      </c>
      <c r="B45" s="34">
        <f>B38-B41-B42-B43-B44</f>
        <v>0</v>
      </c>
      <c r="C45" s="25" t="s">
        <v>0</v>
      </c>
      <c r="D45" s="26"/>
    </row>
    <row r="46" spans="1:4" ht="24" customHeight="1">
      <c r="A46" s="6"/>
      <c r="B46" s="132" t="s">
        <v>119</v>
      </c>
      <c r="C46" s="132"/>
      <c r="D46" s="101" t="str">
        <f>'収支報告書'!X7</f>
        <v>高橋伸介</v>
      </c>
    </row>
    <row r="47" spans="1:4" ht="18.75">
      <c r="A47" s="58" t="s">
        <v>71</v>
      </c>
      <c r="B47" s="33">
        <f>'収支報告書'!L26</f>
        <v>0</v>
      </c>
      <c r="C47" s="9" t="s">
        <v>0</v>
      </c>
      <c r="D47" s="35"/>
    </row>
    <row r="48" spans="1:4" ht="13.5">
      <c r="A48" s="2"/>
      <c r="B48" s="2"/>
      <c r="C48" s="2"/>
      <c r="D48" s="2"/>
    </row>
    <row r="49" spans="1:4" ht="13.5">
      <c r="A49" s="23" t="s">
        <v>33</v>
      </c>
      <c r="B49" s="108" t="s">
        <v>35</v>
      </c>
      <c r="C49" s="110"/>
      <c r="D49" s="23" t="s">
        <v>27</v>
      </c>
    </row>
    <row r="50" spans="1:4" ht="25.5" customHeight="1">
      <c r="A50" s="26"/>
      <c r="B50" s="105"/>
      <c r="C50" s="25" t="s">
        <v>0</v>
      </c>
      <c r="D50" s="26"/>
    </row>
    <row r="51" spans="1:4" ht="25.5" customHeight="1">
      <c r="A51" s="26"/>
      <c r="B51" s="105"/>
      <c r="C51" s="25" t="s">
        <v>0</v>
      </c>
      <c r="D51" s="26"/>
    </row>
    <row r="52" spans="1:4" ht="25.5" customHeight="1">
      <c r="A52" s="26"/>
      <c r="B52" s="105"/>
      <c r="C52" s="25" t="s">
        <v>0</v>
      </c>
      <c r="D52" s="26"/>
    </row>
    <row r="53" spans="1:4" ht="25.5" customHeight="1">
      <c r="A53" s="26"/>
      <c r="B53" s="34"/>
      <c r="C53" s="25" t="s">
        <v>0</v>
      </c>
      <c r="D53" s="26"/>
    </row>
    <row r="54" spans="1:4" ht="25.5" customHeight="1">
      <c r="A54" s="26" t="s">
        <v>34</v>
      </c>
      <c r="B54" s="34">
        <f>B47-B50-B51-B52-B53</f>
        <v>0</v>
      </c>
      <c r="C54" s="25" t="s">
        <v>0</v>
      </c>
      <c r="D54" s="26"/>
    </row>
    <row r="55" spans="1:4" ht="30" customHeight="1">
      <c r="A55" s="2"/>
      <c r="B55" s="2"/>
      <c r="C55" s="2"/>
      <c r="D55" s="2"/>
    </row>
    <row r="56" spans="1:4" ht="18.75">
      <c r="A56" s="58" t="s">
        <v>63</v>
      </c>
      <c r="B56" s="33">
        <f>'収支報告書'!L27</f>
        <v>100000</v>
      </c>
      <c r="C56" s="9" t="s">
        <v>0</v>
      </c>
      <c r="D56" s="2"/>
    </row>
    <row r="57" spans="1:4" ht="13.5">
      <c r="A57" s="2"/>
      <c r="B57" s="2"/>
      <c r="C57" s="2"/>
      <c r="D57" s="2"/>
    </row>
    <row r="58" spans="1:4" ht="13.5">
      <c r="A58" s="23" t="s">
        <v>33</v>
      </c>
      <c r="B58" s="108" t="s">
        <v>35</v>
      </c>
      <c r="C58" s="110"/>
      <c r="D58" s="23" t="s">
        <v>27</v>
      </c>
    </row>
    <row r="59" spans="1:4" ht="25.5" customHeight="1">
      <c r="A59" s="24" t="s">
        <v>152</v>
      </c>
      <c r="B59" s="34">
        <v>23000</v>
      </c>
      <c r="C59" s="25" t="s">
        <v>0</v>
      </c>
      <c r="D59" s="26"/>
    </row>
    <row r="60" spans="1:4" ht="25.5" customHeight="1">
      <c r="A60" s="26" t="s">
        <v>151</v>
      </c>
      <c r="B60" s="34">
        <v>7000</v>
      </c>
      <c r="C60" s="25" t="s">
        <v>0</v>
      </c>
      <c r="D60" s="26"/>
    </row>
    <row r="61" spans="1:4" ht="25.5" customHeight="1">
      <c r="A61" s="26" t="s">
        <v>151</v>
      </c>
      <c r="B61" s="34">
        <v>22000</v>
      </c>
      <c r="C61" s="25" t="s">
        <v>0</v>
      </c>
      <c r="D61" s="26"/>
    </row>
    <row r="62" spans="1:4" ht="25.5" customHeight="1">
      <c r="A62" s="26" t="s">
        <v>151</v>
      </c>
      <c r="B62" s="34">
        <v>21000</v>
      </c>
      <c r="C62" s="25" t="s">
        <v>0</v>
      </c>
      <c r="D62" s="26"/>
    </row>
    <row r="63" spans="1:4" ht="25.5" customHeight="1">
      <c r="A63" s="26" t="s">
        <v>34</v>
      </c>
      <c r="B63" s="34">
        <f>B56-B59-B60-B61-B62</f>
        <v>27000</v>
      </c>
      <c r="C63" s="25" t="s">
        <v>0</v>
      </c>
      <c r="D63" s="26"/>
    </row>
    <row r="64" spans="1:4" ht="30" customHeight="1">
      <c r="A64" s="2"/>
      <c r="B64" s="2"/>
      <c r="C64" s="2"/>
      <c r="D64" s="2"/>
    </row>
    <row r="65" spans="1:4" ht="18.75">
      <c r="A65" s="58" t="s">
        <v>62</v>
      </c>
      <c r="B65" s="33">
        <f>'収支報告書'!L28</f>
        <v>23536</v>
      </c>
      <c r="C65" s="9" t="s">
        <v>0</v>
      </c>
      <c r="D65" s="2"/>
    </row>
    <row r="66" spans="1:4" ht="13.5">
      <c r="A66" s="2"/>
      <c r="B66" s="2"/>
      <c r="C66" s="2"/>
      <c r="D66" s="2"/>
    </row>
    <row r="67" spans="1:4" ht="13.5">
      <c r="A67" s="23" t="s">
        <v>33</v>
      </c>
      <c r="B67" s="108" t="s">
        <v>35</v>
      </c>
      <c r="C67" s="110"/>
      <c r="D67" s="23" t="s">
        <v>27</v>
      </c>
    </row>
    <row r="68" spans="1:4" ht="25.5" customHeight="1">
      <c r="A68" s="26" t="s">
        <v>153</v>
      </c>
      <c r="B68" s="34">
        <v>3080</v>
      </c>
      <c r="C68" s="25" t="s">
        <v>0</v>
      </c>
      <c r="D68" s="26"/>
    </row>
    <row r="69" spans="1:4" ht="25.5" customHeight="1">
      <c r="A69" s="24" t="s">
        <v>128</v>
      </c>
      <c r="B69" s="34">
        <v>2321</v>
      </c>
      <c r="C69" s="25" t="s">
        <v>0</v>
      </c>
      <c r="D69" s="26"/>
    </row>
    <row r="70" spans="1:4" ht="25.5" customHeight="1">
      <c r="A70" s="24" t="s">
        <v>154</v>
      </c>
      <c r="B70" s="34">
        <v>3150</v>
      </c>
      <c r="C70" s="25" t="s">
        <v>0</v>
      </c>
      <c r="D70" s="26"/>
    </row>
    <row r="71" spans="1:4" ht="25.5" customHeight="1">
      <c r="A71" s="26" t="s">
        <v>132</v>
      </c>
      <c r="B71" s="34">
        <v>7350</v>
      </c>
      <c r="C71" s="25" t="s">
        <v>0</v>
      </c>
      <c r="D71" s="26"/>
    </row>
    <row r="72" spans="1:4" ht="25.5" customHeight="1">
      <c r="A72" s="26" t="s">
        <v>34</v>
      </c>
      <c r="B72" s="34">
        <f>B65-B68-B69-B70-B71</f>
        <v>7635</v>
      </c>
      <c r="C72" s="25" t="s">
        <v>0</v>
      </c>
      <c r="D72" s="26"/>
    </row>
    <row r="73" spans="1:4" ht="30" customHeight="1">
      <c r="A73" s="6"/>
      <c r="B73" s="6"/>
      <c r="C73" s="27"/>
      <c r="D73" s="6"/>
    </row>
    <row r="74" spans="1:4" ht="18.75">
      <c r="A74" s="58" t="s">
        <v>61</v>
      </c>
      <c r="B74" s="33">
        <f>'収支報告書'!L29</f>
        <v>0</v>
      </c>
      <c r="C74" s="9" t="s">
        <v>0</v>
      </c>
      <c r="D74" s="2"/>
    </row>
    <row r="75" spans="1:4" ht="13.5">
      <c r="A75" s="2"/>
      <c r="B75" s="2"/>
      <c r="C75" s="2"/>
      <c r="D75" s="2"/>
    </row>
    <row r="76" spans="1:4" ht="13.5">
      <c r="A76" s="23" t="s">
        <v>33</v>
      </c>
      <c r="B76" s="108" t="s">
        <v>35</v>
      </c>
      <c r="C76" s="110"/>
      <c r="D76" s="23" t="s">
        <v>27</v>
      </c>
    </row>
    <row r="77" spans="1:4" ht="25.5" customHeight="1">
      <c r="A77" s="26"/>
      <c r="B77" s="34"/>
      <c r="C77" s="25" t="s">
        <v>0</v>
      </c>
      <c r="D77" s="26"/>
    </row>
    <row r="78" spans="1:4" ht="25.5" customHeight="1">
      <c r="A78" s="24"/>
      <c r="B78" s="34"/>
      <c r="C78" s="25" t="s">
        <v>0</v>
      </c>
      <c r="D78" s="26"/>
    </row>
    <row r="79" spans="1:4" ht="25.5" customHeight="1">
      <c r="A79" s="24"/>
      <c r="B79" s="34"/>
      <c r="C79" s="25" t="s">
        <v>0</v>
      </c>
      <c r="D79" s="26"/>
    </row>
    <row r="80" spans="1:4" ht="25.5" customHeight="1">
      <c r="A80" s="26"/>
      <c r="B80" s="34"/>
      <c r="C80" s="25" t="s">
        <v>0</v>
      </c>
      <c r="D80" s="26"/>
    </row>
    <row r="81" spans="1:4" ht="25.5" customHeight="1">
      <c r="A81" s="26" t="s">
        <v>34</v>
      </c>
      <c r="B81" s="34">
        <f>B74-B77-B78-B79-B80</f>
        <v>0</v>
      </c>
      <c r="C81" s="25" t="s">
        <v>0</v>
      </c>
      <c r="D81" s="26"/>
    </row>
    <row r="82" spans="1:4" ht="30" customHeight="1">
      <c r="A82" s="2"/>
      <c r="B82" s="2"/>
      <c r="C82" s="2"/>
      <c r="D82" s="2"/>
    </row>
    <row r="83" spans="1:4" ht="18.75">
      <c r="A83" s="57" t="s">
        <v>60</v>
      </c>
      <c r="B83" s="33">
        <f>'収支報告書'!L30</f>
        <v>161841</v>
      </c>
      <c r="C83" s="9" t="s">
        <v>0</v>
      </c>
      <c r="D83" s="2"/>
    </row>
    <row r="84" spans="1:4" ht="13.5">
      <c r="A84" s="2"/>
      <c r="B84" s="2"/>
      <c r="C84" s="2"/>
      <c r="D84" s="2"/>
    </row>
    <row r="85" spans="1:4" ht="13.5">
      <c r="A85" s="23" t="s">
        <v>33</v>
      </c>
      <c r="B85" s="108" t="s">
        <v>35</v>
      </c>
      <c r="C85" s="110"/>
      <c r="D85" s="23" t="s">
        <v>27</v>
      </c>
    </row>
    <row r="86" spans="1:4" ht="25.5" customHeight="1">
      <c r="A86" s="106" t="s">
        <v>155</v>
      </c>
      <c r="B86" s="34">
        <v>49193</v>
      </c>
      <c r="C86" s="25" t="s">
        <v>0</v>
      </c>
      <c r="D86" s="26"/>
    </row>
    <row r="87" spans="1:4" ht="25.5" customHeight="1">
      <c r="A87" s="24" t="s">
        <v>156</v>
      </c>
      <c r="B87" s="34">
        <v>58000</v>
      </c>
      <c r="C87" s="25" t="s">
        <v>0</v>
      </c>
      <c r="D87" s="26"/>
    </row>
    <row r="88" spans="1:4" ht="25.5" customHeight="1">
      <c r="A88" s="26" t="s">
        <v>79</v>
      </c>
      <c r="B88" s="34">
        <v>19348</v>
      </c>
      <c r="C88" s="25" t="s">
        <v>0</v>
      </c>
      <c r="D88" s="26"/>
    </row>
    <row r="89" spans="1:4" ht="25.5" customHeight="1">
      <c r="A89" s="26" t="s">
        <v>157</v>
      </c>
      <c r="B89" s="34">
        <v>33800</v>
      </c>
      <c r="C89" s="25" t="s">
        <v>0</v>
      </c>
      <c r="D89" s="26"/>
    </row>
    <row r="90" spans="1:4" ht="25.5" customHeight="1">
      <c r="A90" s="26" t="s">
        <v>34</v>
      </c>
      <c r="B90" s="34">
        <f>B83-B86-B87-B88-B89</f>
        <v>1500</v>
      </c>
      <c r="C90" s="25" t="s">
        <v>0</v>
      </c>
      <c r="D90" s="26"/>
    </row>
    <row r="92" spans="1:3" ht="18.75">
      <c r="A92" s="28"/>
      <c r="B92" s="29"/>
      <c r="C92" s="29"/>
    </row>
    <row r="93" spans="1:3" ht="13.5">
      <c r="A93" s="29"/>
      <c r="B93" s="29"/>
      <c r="C93" s="29"/>
    </row>
    <row r="94" spans="1:3" ht="13.5">
      <c r="A94" s="30"/>
      <c r="B94" s="133"/>
      <c r="C94" s="133"/>
    </row>
    <row r="95" spans="1:3" ht="13.5">
      <c r="A95" s="31"/>
      <c r="B95" s="29"/>
      <c r="C95" s="32"/>
    </row>
    <row r="96" spans="1:3" ht="13.5">
      <c r="A96" s="31"/>
      <c r="B96" s="29"/>
      <c r="C96" s="32"/>
    </row>
    <row r="97" spans="1:3" ht="13.5">
      <c r="A97" s="29"/>
      <c r="B97" s="29"/>
      <c r="C97" s="32"/>
    </row>
    <row r="98" spans="1:3" ht="13.5">
      <c r="A98" s="29"/>
      <c r="B98" s="29"/>
      <c r="C98" s="32"/>
    </row>
    <row r="99" spans="1:3" ht="13.5">
      <c r="A99" s="29"/>
      <c r="B99" s="29"/>
      <c r="C99" s="32"/>
    </row>
    <row r="100" spans="1:3" ht="13.5">
      <c r="A100" s="1"/>
      <c r="B100" s="1"/>
      <c r="C100" s="1"/>
    </row>
    <row r="101" spans="1:3" ht="18.75">
      <c r="A101" s="28"/>
      <c r="B101" s="29"/>
      <c r="C101" s="29"/>
    </row>
    <row r="102" spans="1:3" ht="13.5">
      <c r="A102" s="29"/>
      <c r="B102" s="29"/>
      <c r="C102" s="29"/>
    </row>
    <row r="103" spans="1:3" ht="13.5">
      <c r="A103" s="30"/>
      <c r="B103" s="133"/>
      <c r="C103" s="133"/>
    </row>
    <row r="104" spans="1:3" ht="13.5">
      <c r="A104" s="31"/>
      <c r="B104" s="29"/>
      <c r="C104" s="32"/>
    </row>
    <row r="105" spans="1:3" ht="13.5">
      <c r="A105" s="31"/>
      <c r="B105" s="29"/>
      <c r="C105" s="32"/>
    </row>
    <row r="106" spans="1:3" ht="13.5">
      <c r="A106" s="29"/>
      <c r="B106" s="29"/>
      <c r="C106" s="32"/>
    </row>
    <row r="107" spans="1:3" ht="13.5">
      <c r="A107" s="29"/>
      <c r="B107" s="29"/>
      <c r="C107" s="32"/>
    </row>
    <row r="108" spans="1:3" ht="13.5">
      <c r="A108" s="29"/>
      <c r="B108" s="29"/>
      <c r="C108" s="32"/>
    </row>
  </sheetData>
  <sheetProtection formatCells="0"/>
  <protectedRanges>
    <protectedRange sqref="D14:D18 D32:D36 A34:B35 D5:D9 A42:B44 D50:D54 A59:B62 D59:D63 A53:B53 D68:D72 A69:B71 D77:D81 A78:B80 D86:D90 D41:D45 D23:D27 A14:B17" name="範囲1"/>
    <protectedRange sqref="A5" name="範囲1_1_4"/>
    <protectedRange sqref="A6" name="範囲1_1_1_1"/>
    <protectedRange sqref="A7" name="範囲1_2_1"/>
    <protectedRange sqref="A8" name="範囲1_3_1"/>
    <protectedRange sqref="B5" name="範囲1_1_2_1"/>
    <protectedRange sqref="B6" name="範囲1_1_3_1"/>
    <protectedRange sqref="B7" name="範囲1_4_1"/>
    <protectedRange sqref="B8" name="範囲1_5_1"/>
    <protectedRange sqref="A23" name="範囲1_1_6"/>
    <protectedRange sqref="B23:B24" name="範囲1_1_7"/>
    <protectedRange sqref="A24" name="範囲1_12"/>
    <protectedRange sqref="A25" name="範囲1_13"/>
    <protectedRange sqref="B25:B26" name="範囲1_14"/>
    <protectedRange sqref="A26" name="範囲1_1_8"/>
    <protectedRange sqref="B32:B33" name="範囲1_6"/>
    <protectedRange sqref="A32" name="範囲1_1_4_1"/>
    <protectedRange sqref="A33" name="範囲1_1_5"/>
    <protectedRange sqref="B41" name="範囲1_7"/>
    <protectedRange sqref="A41" name="範囲1_11"/>
    <protectedRange sqref="A50" name="範囲1_6_1"/>
    <protectedRange sqref="A51" name="範囲1_7_1"/>
    <protectedRange sqref="B50" name="範囲1_8"/>
    <protectedRange sqref="B51:B52" name="範囲1_9"/>
    <protectedRange sqref="A52" name="範囲1_10"/>
    <protectedRange sqref="B68" name="範囲1_15"/>
    <protectedRange sqref="A68" name="範囲1_1_9"/>
    <protectedRange sqref="B77" name="範囲1_16"/>
    <protectedRange sqref="A77" name="範囲1_15_1"/>
    <protectedRange sqref="B86:B89 A87:A89" name="範囲1_17"/>
    <protectedRange sqref="A86" name="範囲1_1_10"/>
  </protectedRanges>
  <mergeCells count="14">
    <mergeCell ref="B85:C85"/>
    <mergeCell ref="B94:C94"/>
    <mergeCell ref="B103:C103"/>
    <mergeCell ref="B49:C49"/>
    <mergeCell ref="B58:C58"/>
    <mergeCell ref="B67:C67"/>
    <mergeCell ref="B76:C76"/>
    <mergeCell ref="B1:C1"/>
    <mergeCell ref="B46:C46"/>
    <mergeCell ref="B4:C4"/>
    <mergeCell ref="B13:C13"/>
    <mergeCell ref="B22:C22"/>
    <mergeCell ref="B31:C31"/>
    <mergeCell ref="B40:C40"/>
  </mergeCells>
  <printOptions/>
  <pageMargins left="1.09" right="0.75" top="0.91" bottom="0.45" header="0.31" footer="0.21"/>
  <pageSetup horizontalDpi="600" verticalDpi="600" orientation="portrait" paperSize="9" scale="81" r:id="rId1"/>
  <headerFooter alignWithMargins="0">
    <oddHeader>&amp;L&amp;"ＭＳ 明朝,標準"規定外様式第4号&amp;C&amp;"ＭＳ Ｐゴシック,太字"&amp;14政務調査費支出内訳書</oddHeader>
  </headerFooter>
  <rowBreaks count="2" manualBreakCount="2">
    <brk id="45" max="3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02"/>
  <sheetViews>
    <sheetView view="pageBreakPreview" zoomScale="60" workbookViewId="0" topLeftCell="A394">
      <selection activeCell="M19" sqref="M19"/>
    </sheetView>
  </sheetViews>
  <sheetFormatPr defaultColWidth="9.00390625" defaultRowHeight="13.5"/>
  <cols>
    <col min="1" max="1" width="24.125" style="0" customWidth="1"/>
    <col min="3" max="3" width="15.75390625" style="0" customWidth="1"/>
    <col min="4" max="4" width="9.125" style="0" customWidth="1"/>
    <col min="5" max="5" width="20.00390625" style="0" customWidth="1"/>
    <col min="7" max="7" width="14.625" style="0" customWidth="1"/>
  </cols>
  <sheetData>
    <row r="1" ht="14.25">
      <c r="A1" s="60" t="s">
        <v>72</v>
      </c>
    </row>
    <row r="2" ht="14.25">
      <c r="A2" s="61"/>
    </row>
    <row r="3" spans="1:8" ht="14.25">
      <c r="A3" s="134" t="s">
        <v>73</v>
      </c>
      <c r="B3" s="134"/>
      <c r="C3" s="134"/>
      <c r="D3" s="134"/>
      <c r="E3" s="134"/>
      <c r="F3" s="134"/>
      <c r="G3" s="134"/>
      <c r="H3" s="134"/>
    </row>
    <row r="4" ht="14.25">
      <c r="A4" s="61"/>
    </row>
    <row r="5" ht="14.25">
      <c r="A5" s="61"/>
    </row>
    <row r="6" spans="1:7" ht="53.25" customHeight="1">
      <c r="A6" s="63" t="s">
        <v>74</v>
      </c>
      <c r="B6" s="135" t="str">
        <f>'収支報告書'!C21</f>
        <v>研究研修費</v>
      </c>
      <c r="C6" s="136"/>
      <c r="D6" s="136"/>
      <c r="E6" s="136"/>
      <c r="F6" s="136"/>
      <c r="G6" s="137"/>
    </row>
    <row r="7" spans="1:7" ht="53.25" customHeight="1">
      <c r="A7" s="63" t="s">
        <v>75</v>
      </c>
      <c r="B7" s="138" t="s">
        <v>77</v>
      </c>
      <c r="C7" s="139"/>
      <c r="D7" s="140">
        <f>'収支報告書'!L21</f>
        <v>10400</v>
      </c>
      <c r="E7" s="141"/>
      <c r="F7" s="64" t="s">
        <v>0</v>
      </c>
      <c r="G7" s="62"/>
    </row>
    <row r="8" ht="14.25">
      <c r="A8" s="61" t="s">
        <v>76</v>
      </c>
    </row>
    <row r="67" ht="14.25">
      <c r="A67" s="60" t="s">
        <v>72</v>
      </c>
    </row>
    <row r="68" ht="14.25">
      <c r="A68" s="61"/>
    </row>
    <row r="69" spans="1:8" ht="14.25">
      <c r="A69" s="134" t="s">
        <v>73</v>
      </c>
      <c r="B69" s="134"/>
      <c r="C69" s="134"/>
      <c r="D69" s="134"/>
      <c r="E69" s="134"/>
      <c r="F69" s="134"/>
      <c r="G69" s="134"/>
      <c r="H69" s="134"/>
    </row>
    <row r="70" ht="14.25">
      <c r="A70" s="61"/>
    </row>
    <row r="71" ht="14.25">
      <c r="A71" s="61"/>
    </row>
    <row r="72" spans="1:7" ht="53.25" customHeight="1">
      <c r="A72" s="63" t="s">
        <v>74</v>
      </c>
      <c r="B72" s="142" t="str">
        <f>'収支報告書'!C22</f>
        <v>調査旅費</v>
      </c>
      <c r="C72" s="142"/>
      <c r="D72" s="142"/>
      <c r="E72" s="142"/>
      <c r="F72" s="142"/>
      <c r="G72" s="142"/>
    </row>
    <row r="73" spans="1:7" ht="53.25" customHeight="1">
      <c r="A73" s="63" t="s">
        <v>75</v>
      </c>
      <c r="B73" s="138" t="s">
        <v>77</v>
      </c>
      <c r="C73" s="139"/>
      <c r="D73" s="140">
        <f>'収支報告書'!L22</f>
        <v>0</v>
      </c>
      <c r="E73" s="141"/>
      <c r="F73" s="64" t="s">
        <v>0</v>
      </c>
      <c r="G73" s="62"/>
    </row>
    <row r="74" ht="14.25">
      <c r="A74" s="61" t="s">
        <v>76</v>
      </c>
    </row>
    <row r="133" ht="14.25">
      <c r="A133" s="60" t="s">
        <v>72</v>
      </c>
    </row>
    <row r="134" ht="14.25">
      <c r="A134" s="61"/>
    </row>
    <row r="135" spans="1:8" ht="14.25">
      <c r="A135" s="134" t="s">
        <v>73</v>
      </c>
      <c r="B135" s="134"/>
      <c r="C135" s="134"/>
      <c r="D135" s="134"/>
      <c r="E135" s="134"/>
      <c r="F135" s="134"/>
      <c r="G135" s="134"/>
      <c r="H135" s="134"/>
    </row>
    <row r="136" ht="14.25">
      <c r="A136" s="61"/>
    </row>
    <row r="137" ht="14.25">
      <c r="A137" s="61"/>
    </row>
    <row r="138" spans="1:7" ht="54" customHeight="1">
      <c r="A138" s="63" t="s">
        <v>74</v>
      </c>
      <c r="B138" s="142" t="str">
        <f>'収支報告書'!C23</f>
        <v>資料作成費</v>
      </c>
      <c r="C138" s="142"/>
      <c r="D138" s="142"/>
      <c r="E138" s="142"/>
      <c r="F138" s="142"/>
      <c r="G138" s="142"/>
    </row>
    <row r="139" spans="1:7" ht="54" customHeight="1">
      <c r="A139" s="63" t="s">
        <v>75</v>
      </c>
      <c r="B139" s="138" t="s">
        <v>77</v>
      </c>
      <c r="C139" s="139"/>
      <c r="D139" s="140">
        <f>'収支報告書'!L23</f>
        <v>5534</v>
      </c>
      <c r="E139" s="141"/>
      <c r="F139" s="64" t="s">
        <v>0</v>
      </c>
      <c r="G139" s="62"/>
    </row>
    <row r="140" ht="14.25">
      <c r="A140" s="61" t="s">
        <v>76</v>
      </c>
    </row>
    <row r="199" ht="14.25">
      <c r="A199" s="60" t="s">
        <v>72</v>
      </c>
    </row>
    <row r="200" ht="14.25">
      <c r="A200" s="61"/>
    </row>
    <row r="201" spans="1:8" ht="14.25">
      <c r="A201" s="134" t="s">
        <v>73</v>
      </c>
      <c r="B201" s="134"/>
      <c r="C201" s="134"/>
      <c r="D201" s="134"/>
      <c r="E201" s="134"/>
      <c r="F201" s="134"/>
      <c r="G201" s="134"/>
      <c r="H201" s="134"/>
    </row>
    <row r="202" ht="14.25">
      <c r="A202" s="61"/>
    </row>
    <row r="203" ht="14.25">
      <c r="A203" s="61"/>
    </row>
    <row r="204" spans="1:7" ht="54" customHeight="1">
      <c r="A204" s="63" t="s">
        <v>74</v>
      </c>
      <c r="B204" s="142" t="str">
        <f>'収支報告書'!C24</f>
        <v>資料購入費</v>
      </c>
      <c r="C204" s="142"/>
      <c r="D204" s="142"/>
      <c r="E204" s="142"/>
      <c r="F204" s="142"/>
      <c r="G204" s="142"/>
    </row>
    <row r="205" spans="1:7" ht="54" customHeight="1">
      <c r="A205" s="63" t="s">
        <v>75</v>
      </c>
      <c r="B205" s="138" t="s">
        <v>77</v>
      </c>
      <c r="C205" s="139"/>
      <c r="D205" s="140">
        <f>'収支報告書'!L24</f>
        <v>61355</v>
      </c>
      <c r="E205" s="141"/>
      <c r="F205" s="64" t="s">
        <v>0</v>
      </c>
      <c r="G205" s="62"/>
    </row>
    <row r="206" ht="14.25">
      <c r="A206" s="61" t="s">
        <v>76</v>
      </c>
    </row>
    <row r="265" ht="14.25">
      <c r="A265" s="60" t="s">
        <v>72</v>
      </c>
    </row>
    <row r="266" ht="14.25">
      <c r="A266" s="61"/>
    </row>
    <row r="267" spans="1:8" ht="14.25">
      <c r="A267" s="134" t="s">
        <v>73</v>
      </c>
      <c r="B267" s="134"/>
      <c r="C267" s="134"/>
      <c r="D267" s="134"/>
      <c r="E267" s="134"/>
      <c r="F267" s="134"/>
      <c r="G267" s="134"/>
      <c r="H267" s="134"/>
    </row>
    <row r="268" ht="14.25">
      <c r="A268" s="61"/>
    </row>
    <row r="269" ht="14.25">
      <c r="A269" s="61"/>
    </row>
    <row r="270" spans="1:7" ht="54" customHeight="1">
      <c r="A270" s="63" t="s">
        <v>74</v>
      </c>
      <c r="B270" s="142" t="str">
        <f>'収支報告書'!C25</f>
        <v>広報費</v>
      </c>
      <c r="C270" s="142"/>
      <c r="D270" s="142"/>
      <c r="E270" s="142"/>
      <c r="F270" s="142"/>
      <c r="G270" s="142"/>
    </row>
    <row r="271" spans="1:7" ht="54" customHeight="1">
      <c r="A271" s="63" t="s">
        <v>75</v>
      </c>
      <c r="B271" s="138" t="s">
        <v>77</v>
      </c>
      <c r="C271" s="139"/>
      <c r="D271" s="140">
        <f>'収支報告書'!L25</f>
        <v>1096481</v>
      </c>
      <c r="E271" s="141"/>
      <c r="F271" s="64" t="s">
        <v>0</v>
      </c>
      <c r="G271" s="62"/>
    </row>
    <row r="272" ht="14.25">
      <c r="A272" s="61" t="s">
        <v>76</v>
      </c>
    </row>
    <row r="331" ht="14.25">
      <c r="A331" s="60" t="s">
        <v>72</v>
      </c>
    </row>
    <row r="332" ht="14.25">
      <c r="A332" s="61"/>
    </row>
    <row r="333" spans="1:8" ht="14.25">
      <c r="A333" s="134" t="s">
        <v>73</v>
      </c>
      <c r="B333" s="134"/>
      <c r="C333" s="134"/>
      <c r="D333" s="134"/>
      <c r="E333" s="134"/>
      <c r="F333" s="134"/>
      <c r="G333" s="134"/>
      <c r="H333" s="134"/>
    </row>
    <row r="334" ht="14.25">
      <c r="A334" s="61"/>
    </row>
    <row r="335" ht="14.25">
      <c r="A335" s="61"/>
    </row>
    <row r="336" spans="1:7" ht="54" customHeight="1">
      <c r="A336" s="63" t="s">
        <v>74</v>
      </c>
      <c r="B336" s="142" t="str">
        <f>'収支報告書'!C26</f>
        <v>広聴費</v>
      </c>
      <c r="C336" s="142"/>
      <c r="D336" s="142"/>
      <c r="E336" s="142"/>
      <c r="F336" s="142"/>
      <c r="G336" s="142"/>
    </row>
    <row r="337" spans="1:7" ht="54" customHeight="1">
      <c r="A337" s="63" t="s">
        <v>75</v>
      </c>
      <c r="B337" s="138" t="s">
        <v>77</v>
      </c>
      <c r="C337" s="139"/>
      <c r="D337" s="140">
        <f>'収支報告書'!L26</f>
        <v>0</v>
      </c>
      <c r="E337" s="141"/>
      <c r="F337" s="64" t="s">
        <v>0</v>
      </c>
      <c r="G337" s="62"/>
    </row>
    <row r="338" ht="14.25">
      <c r="A338" s="61" t="s">
        <v>76</v>
      </c>
    </row>
    <row r="397" ht="14.25">
      <c r="A397" s="60" t="s">
        <v>72</v>
      </c>
    </row>
    <row r="398" ht="14.25">
      <c r="A398" s="61"/>
    </row>
    <row r="399" spans="1:8" ht="14.25">
      <c r="A399" s="134" t="s">
        <v>73</v>
      </c>
      <c r="B399" s="134"/>
      <c r="C399" s="134"/>
      <c r="D399" s="134"/>
      <c r="E399" s="134"/>
      <c r="F399" s="134"/>
      <c r="G399" s="134"/>
      <c r="H399" s="134"/>
    </row>
    <row r="400" ht="14.25">
      <c r="A400" s="61"/>
    </row>
    <row r="401" ht="14.25">
      <c r="A401" s="61"/>
    </row>
    <row r="402" spans="1:7" ht="54" customHeight="1">
      <c r="A402" s="63" t="s">
        <v>74</v>
      </c>
      <c r="B402" s="142" t="str">
        <f>'収支報告書'!C27</f>
        <v>人件費</v>
      </c>
      <c r="C402" s="142"/>
      <c r="D402" s="142"/>
      <c r="E402" s="142"/>
      <c r="F402" s="142"/>
      <c r="G402" s="142"/>
    </row>
    <row r="403" spans="1:7" ht="54" customHeight="1">
      <c r="A403" s="63" t="s">
        <v>75</v>
      </c>
      <c r="B403" s="138" t="s">
        <v>77</v>
      </c>
      <c r="C403" s="139"/>
      <c r="D403" s="140">
        <f>'収支報告書'!L27</f>
        <v>100000</v>
      </c>
      <c r="E403" s="141"/>
      <c r="F403" s="64" t="s">
        <v>0</v>
      </c>
      <c r="G403" s="62"/>
    </row>
    <row r="404" ht="14.25">
      <c r="A404" s="61" t="s">
        <v>76</v>
      </c>
    </row>
    <row r="463" ht="14.25">
      <c r="A463" s="60" t="s">
        <v>72</v>
      </c>
    </row>
    <row r="464" ht="14.25">
      <c r="A464" s="61"/>
    </row>
    <row r="465" spans="1:8" ht="14.25">
      <c r="A465" s="134" t="s">
        <v>73</v>
      </c>
      <c r="B465" s="134"/>
      <c r="C465" s="134"/>
      <c r="D465" s="134"/>
      <c r="E465" s="134"/>
      <c r="F465" s="134"/>
      <c r="G465" s="134"/>
      <c r="H465" s="134"/>
    </row>
    <row r="466" ht="14.25">
      <c r="A466" s="61"/>
    </row>
    <row r="467" ht="14.25">
      <c r="A467" s="61"/>
    </row>
    <row r="468" spans="1:7" ht="54" customHeight="1">
      <c r="A468" s="63" t="s">
        <v>74</v>
      </c>
      <c r="B468" s="142" t="str">
        <f>'収支報告書'!C28</f>
        <v>事務所費</v>
      </c>
      <c r="C468" s="142"/>
      <c r="D468" s="142"/>
      <c r="E468" s="142"/>
      <c r="F468" s="142"/>
      <c r="G468" s="142"/>
    </row>
    <row r="469" spans="1:7" ht="54" customHeight="1">
      <c r="A469" s="63" t="s">
        <v>75</v>
      </c>
      <c r="B469" s="138" t="s">
        <v>77</v>
      </c>
      <c r="C469" s="139"/>
      <c r="D469" s="140">
        <f>'収支報告書'!L28</f>
        <v>23536</v>
      </c>
      <c r="E469" s="141"/>
      <c r="F469" s="64" t="s">
        <v>0</v>
      </c>
      <c r="G469" s="62"/>
    </row>
    <row r="470" ht="14.25">
      <c r="A470" s="61" t="s">
        <v>76</v>
      </c>
    </row>
    <row r="529" ht="14.25">
      <c r="A529" s="60" t="s">
        <v>72</v>
      </c>
    </row>
    <row r="530" ht="14.25">
      <c r="A530" s="61"/>
    </row>
    <row r="531" spans="1:8" ht="14.25">
      <c r="A531" s="134" t="s">
        <v>73</v>
      </c>
      <c r="B531" s="134"/>
      <c r="C531" s="134"/>
      <c r="D531" s="134"/>
      <c r="E531" s="134"/>
      <c r="F531" s="134"/>
      <c r="G531" s="134"/>
      <c r="H531" s="134"/>
    </row>
    <row r="532" ht="14.25">
      <c r="A532" s="61"/>
    </row>
    <row r="533" ht="14.25">
      <c r="A533" s="61"/>
    </row>
    <row r="534" spans="1:7" ht="54" customHeight="1">
      <c r="A534" s="63" t="s">
        <v>74</v>
      </c>
      <c r="B534" s="142" t="str">
        <f>'収支報告書'!C29</f>
        <v>会派共用費</v>
      </c>
      <c r="C534" s="142"/>
      <c r="D534" s="142"/>
      <c r="E534" s="142"/>
      <c r="F534" s="142"/>
      <c r="G534" s="142"/>
    </row>
    <row r="535" spans="1:7" ht="54" customHeight="1">
      <c r="A535" s="63" t="s">
        <v>75</v>
      </c>
      <c r="B535" s="138" t="s">
        <v>77</v>
      </c>
      <c r="C535" s="139"/>
      <c r="D535" s="140">
        <f>'収支報告書'!L29</f>
        <v>0</v>
      </c>
      <c r="E535" s="141"/>
      <c r="F535" s="64" t="s">
        <v>0</v>
      </c>
      <c r="G535" s="62"/>
    </row>
    <row r="536" ht="14.25">
      <c r="A536" s="61" t="s">
        <v>76</v>
      </c>
    </row>
    <row r="595" ht="14.25">
      <c r="A595" s="60" t="s">
        <v>72</v>
      </c>
    </row>
    <row r="596" ht="14.25">
      <c r="A596" s="61"/>
    </row>
    <row r="597" spans="1:8" ht="14.25">
      <c r="A597" s="134" t="s">
        <v>73</v>
      </c>
      <c r="B597" s="134"/>
      <c r="C597" s="134"/>
      <c r="D597" s="134"/>
      <c r="E597" s="134"/>
      <c r="F597" s="134"/>
      <c r="G597" s="134"/>
      <c r="H597" s="134"/>
    </row>
    <row r="598" ht="14.25">
      <c r="A598" s="61"/>
    </row>
    <row r="599" ht="14.25">
      <c r="A599" s="61"/>
    </row>
    <row r="600" spans="1:7" ht="54" customHeight="1">
      <c r="A600" s="63" t="s">
        <v>74</v>
      </c>
      <c r="B600" s="142" t="str">
        <f>'収支報告書'!C30</f>
        <v>その他の経費</v>
      </c>
      <c r="C600" s="142"/>
      <c r="D600" s="142"/>
      <c r="E600" s="142"/>
      <c r="F600" s="142"/>
      <c r="G600" s="142"/>
    </row>
    <row r="601" spans="1:7" ht="54" customHeight="1">
      <c r="A601" s="63" t="s">
        <v>75</v>
      </c>
      <c r="B601" s="138" t="s">
        <v>77</v>
      </c>
      <c r="C601" s="139"/>
      <c r="D601" s="140">
        <f>'収支報告書'!L30</f>
        <v>161841</v>
      </c>
      <c r="E601" s="141"/>
      <c r="F601" s="64" t="s">
        <v>0</v>
      </c>
      <c r="G601" s="62"/>
    </row>
    <row r="602" ht="14.25">
      <c r="A602" s="61" t="s">
        <v>76</v>
      </c>
    </row>
  </sheetData>
  <mergeCells count="40">
    <mergeCell ref="A597:H597"/>
    <mergeCell ref="B600:G600"/>
    <mergeCell ref="B601:C601"/>
    <mergeCell ref="D601:E601"/>
    <mergeCell ref="A531:H531"/>
    <mergeCell ref="B534:G534"/>
    <mergeCell ref="B535:C535"/>
    <mergeCell ref="D535:E535"/>
    <mergeCell ref="A465:H465"/>
    <mergeCell ref="B468:G468"/>
    <mergeCell ref="B469:C469"/>
    <mergeCell ref="D469:E469"/>
    <mergeCell ref="A399:H399"/>
    <mergeCell ref="B402:G402"/>
    <mergeCell ref="B403:C403"/>
    <mergeCell ref="D403:E403"/>
    <mergeCell ref="A333:H333"/>
    <mergeCell ref="B336:G336"/>
    <mergeCell ref="B337:C337"/>
    <mergeCell ref="D337:E337"/>
    <mergeCell ref="A267:H267"/>
    <mergeCell ref="B270:G270"/>
    <mergeCell ref="B271:C271"/>
    <mergeCell ref="D271:E271"/>
    <mergeCell ref="A201:H201"/>
    <mergeCell ref="B204:G204"/>
    <mergeCell ref="B205:C205"/>
    <mergeCell ref="D205:E205"/>
    <mergeCell ref="A135:H135"/>
    <mergeCell ref="B138:G138"/>
    <mergeCell ref="B139:C139"/>
    <mergeCell ref="D139:E139"/>
    <mergeCell ref="A69:H69"/>
    <mergeCell ref="B72:G72"/>
    <mergeCell ref="B73:C73"/>
    <mergeCell ref="D73:E73"/>
    <mergeCell ref="A3:H3"/>
    <mergeCell ref="B6:G6"/>
    <mergeCell ref="B7:C7"/>
    <mergeCell ref="D7:E7"/>
  </mergeCells>
  <printOptions/>
  <pageMargins left="0.9448818897637796" right="0.7480314960629921" top="0.5905511811023623" bottom="0.984251968503937" header="0.31496062992125984" footer="0.5118110236220472"/>
  <pageSetup horizontalDpi="600" verticalDpi="600" orientation="portrait" paperSize="9" scale="82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A19">
      <selection activeCell="J3" sqref="J3"/>
    </sheetView>
  </sheetViews>
  <sheetFormatPr defaultColWidth="9.00390625" defaultRowHeight="13.5"/>
  <cols>
    <col min="1" max="1" width="0.74609375" style="0" customWidth="1"/>
    <col min="2" max="2" width="5.50390625" style="0" customWidth="1"/>
    <col min="3" max="11" width="9.625" style="0" customWidth="1"/>
  </cols>
  <sheetData>
    <row r="1" ht="13.5">
      <c r="K1" s="91"/>
    </row>
    <row r="2" spans="2:11" ht="18.75" customHeight="1">
      <c r="B2" s="143" t="s">
        <v>106</v>
      </c>
      <c r="C2" s="143"/>
      <c r="D2" s="143"/>
      <c r="E2" s="143"/>
      <c r="F2" s="143"/>
      <c r="G2" s="143"/>
      <c r="H2" s="143"/>
      <c r="I2" s="143"/>
      <c r="J2" s="143"/>
      <c r="K2" s="91"/>
    </row>
    <row r="3" spans="2:11" ht="15" customHeight="1">
      <c r="B3" s="144" t="str">
        <f>'収支報告書'!X7</f>
        <v>高橋伸介</v>
      </c>
      <c r="C3" s="144"/>
      <c r="D3" t="s">
        <v>103</v>
      </c>
      <c r="K3" s="91"/>
    </row>
    <row r="4" ht="15" customHeight="1" thickBot="1">
      <c r="K4" s="87" t="s">
        <v>101</v>
      </c>
    </row>
    <row r="5" spans="2:11" ht="44.25" customHeight="1" thickBot="1">
      <c r="B5" s="85" t="s">
        <v>102</v>
      </c>
      <c r="C5" s="86" t="s">
        <v>109</v>
      </c>
      <c r="D5" s="86" t="s">
        <v>110</v>
      </c>
      <c r="E5" s="86" t="s">
        <v>111</v>
      </c>
      <c r="F5" s="86" t="s">
        <v>112</v>
      </c>
      <c r="G5" s="86" t="s">
        <v>113</v>
      </c>
      <c r="H5" s="86" t="s">
        <v>117</v>
      </c>
      <c r="I5" s="86" t="s">
        <v>114</v>
      </c>
      <c r="J5" s="88" t="s">
        <v>115</v>
      </c>
      <c r="K5" s="92" t="s">
        <v>108</v>
      </c>
    </row>
    <row r="6" spans="2:11" ht="45" customHeight="1">
      <c r="B6" s="67" t="s">
        <v>86</v>
      </c>
      <c r="C6" s="68">
        <f>'政務調査費出納簿'!Q310</f>
        <v>0</v>
      </c>
      <c r="D6" s="68">
        <f>'政務調査費出納簿'!R310</f>
        <v>2460</v>
      </c>
      <c r="E6" s="68">
        <f>'政務調査費出納簿'!S310</f>
        <v>0</v>
      </c>
      <c r="F6" s="68">
        <f>'政務調査費出納簿'!T310</f>
        <v>0</v>
      </c>
      <c r="G6" s="68">
        <f>'政務調査費出納簿'!U310</f>
        <v>0</v>
      </c>
      <c r="H6" s="68">
        <f>SUM(C6:G6)</f>
        <v>2460</v>
      </c>
      <c r="I6" s="68">
        <f>IF(H6&gt;50000,H6-50000,0)</f>
        <v>0</v>
      </c>
      <c r="J6" s="82">
        <f>H6-I6</f>
        <v>2460</v>
      </c>
      <c r="K6" s="93">
        <f>'政務調査費出納簿'!Y310</f>
        <v>0</v>
      </c>
    </row>
    <row r="7" spans="2:11" ht="45" customHeight="1">
      <c r="B7" s="69" t="s">
        <v>87</v>
      </c>
      <c r="C7" s="70">
        <f>'政務調査費出納簿'!Q311</f>
        <v>0</v>
      </c>
      <c r="D7" s="70">
        <f>'政務調査費出納簿'!R311</f>
        <v>2993</v>
      </c>
      <c r="E7" s="70">
        <f>'政務調査費出納簿'!S311</f>
        <v>0</v>
      </c>
      <c r="F7" s="70">
        <f>'政務調査費出納簿'!T311</f>
        <v>0</v>
      </c>
      <c r="G7" s="68">
        <f>'政務調査費出納簿'!U311</f>
        <v>0</v>
      </c>
      <c r="H7" s="68">
        <f aca="true" t="shared" si="0" ref="H7:H18">SUM(C7:G7)</f>
        <v>2993</v>
      </c>
      <c r="I7" s="68">
        <f aca="true" t="shared" si="1" ref="I7:I17">IF(H7&gt;50000,H7-50000,0)</f>
        <v>0</v>
      </c>
      <c r="J7" s="82">
        <f aca="true" t="shared" si="2" ref="J7:J17">H7-I7</f>
        <v>2993</v>
      </c>
      <c r="K7" s="93">
        <f>'政務調査費出納簿'!Y311</f>
        <v>280</v>
      </c>
    </row>
    <row r="8" spans="2:11" ht="45" customHeight="1">
      <c r="B8" s="69" t="s">
        <v>89</v>
      </c>
      <c r="C8" s="70">
        <f>'政務調査費出納簿'!Q312</f>
        <v>6748</v>
      </c>
      <c r="D8" s="70">
        <f>'政務調査費出納簿'!R312</f>
        <v>5492</v>
      </c>
      <c r="E8" s="70">
        <f>'政務調査費出納簿'!S312</f>
        <v>0</v>
      </c>
      <c r="F8" s="70">
        <f>'政務調査費出納簿'!T312</f>
        <v>0</v>
      </c>
      <c r="G8" s="68">
        <f>'政務調査費出納簿'!U312</f>
        <v>0</v>
      </c>
      <c r="H8" s="68">
        <f t="shared" si="0"/>
        <v>12240</v>
      </c>
      <c r="I8" s="68">
        <f t="shared" si="1"/>
        <v>0</v>
      </c>
      <c r="J8" s="82">
        <f t="shared" si="2"/>
        <v>12240</v>
      </c>
      <c r="K8" s="93">
        <f>'政務調査費出納簿'!Y312</f>
        <v>0</v>
      </c>
    </row>
    <row r="9" spans="2:11" ht="45" customHeight="1">
      <c r="B9" s="69" t="s">
        <v>90</v>
      </c>
      <c r="C9" s="70">
        <f>'政務調査費出納簿'!Q313</f>
        <v>7711</v>
      </c>
      <c r="D9" s="70">
        <f>'政務調査費出納簿'!R313</f>
        <v>6147</v>
      </c>
      <c r="E9" s="70">
        <f>'政務調査費出納簿'!S313</f>
        <v>0</v>
      </c>
      <c r="F9" s="70">
        <f>'政務調査費出納簿'!T313</f>
        <v>0</v>
      </c>
      <c r="G9" s="68">
        <f>'政務調査費出納簿'!U313</f>
        <v>8000</v>
      </c>
      <c r="H9" s="68">
        <f t="shared" si="0"/>
        <v>21858</v>
      </c>
      <c r="I9" s="68">
        <f t="shared" si="1"/>
        <v>0</v>
      </c>
      <c r="J9" s="82">
        <f t="shared" si="2"/>
        <v>21858</v>
      </c>
      <c r="K9" s="93">
        <f>'政務調査費出納簿'!Y313</f>
        <v>0</v>
      </c>
    </row>
    <row r="10" spans="2:11" ht="45" customHeight="1">
      <c r="B10" s="69" t="s">
        <v>91</v>
      </c>
      <c r="C10" s="70">
        <f>'政務調査費出納簿'!Q314</f>
        <v>5873</v>
      </c>
      <c r="D10" s="70">
        <f>'政務調査費出納簿'!R314</f>
        <v>2256</v>
      </c>
      <c r="E10" s="70">
        <f>'政務調査費出納簿'!S314</f>
        <v>0</v>
      </c>
      <c r="F10" s="70">
        <f>'政務調査費出納簿'!T314</f>
        <v>0</v>
      </c>
      <c r="G10" s="68">
        <f>'政務調査費出納簿'!U314</f>
        <v>3000</v>
      </c>
      <c r="H10" s="68">
        <f t="shared" si="0"/>
        <v>11129</v>
      </c>
      <c r="I10" s="68">
        <f t="shared" si="1"/>
        <v>0</v>
      </c>
      <c r="J10" s="82">
        <f t="shared" si="2"/>
        <v>11129</v>
      </c>
      <c r="K10" s="93">
        <f>'政務調査費出納簿'!Y314</f>
        <v>0</v>
      </c>
    </row>
    <row r="11" spans="2:11" ht="45" customHeight="1">
      <c r="B11" s="69" t="s">
        <v>92</v>
      </c>
      <c r="C11" s="70">
        <f>'政務調査費出納簿'!Q315</f>
        <v>6275</v>
      </c>
      <c r="D11" s="70">
        <f>'政務調査費出納簿'!R315</f>
        <v>0</v>
      </c>
      <c r="E11" s="70">
        <f>'政務調査費出納簿'!S315</f>
        <v>0</v>
      </c>
      <c r="F11" s="70">
        <f>'政務調査費出納簿'!T315</f>
        <v>0</v>
      </c>
      <c r="G11" s="68">
        <f>'政務調査費出納簿'!U315</f>
        <v>6000</v>
      </c>
      <c r="H11" s="68">
        <f t="shared" si="0"/>
        <v>12275</v>
      </c>
      <c r="I11" s="68">
        <f t="shared" si="1"/>
        <v>0</v>
      </c>
      <c r="J11" s="82">
        <f t="shared" si="2"/>
        <v>12275</v>
      </c>
      <c r="K11" s="93">
        <f>'政務調査費出納簿'!Y315</f>
        <v>0</v>
      </c>
    </row>
    <row r="12" spans="2:11" ht="45" customHeight="1">
      <c r="B12" s="69" t="s">
        <v>93</v>
      </c>
      <c r="C12" s="70">
        <f>'政務調査費出納簿'!Q316</f>
        <v>8040</v>
      </c>
      <c r="D12" s="70">
        <f>'政務調査費出納簿'!R316</f>
        <v>0</v>
      </c>
      <c r="E12" s="70">
        <f>'政務調査費出納簿'!S316</f>
        <v>0</v>
      </c>
      <c r="F12" s="70">
        <f>'政務調査費出納簿'!T316</f>
        <v>0</v>
      </c>
      <c r="G12" s="68">
        <f>'政務調査費出納簿'!U316</f>
        <v>6000</v>
      </c>
      <c r="H12" s="68">
        <f t="shared" si="0"/>
        <v>14040</v>
      </c>
      <c r="I12" s="68">
        <f t="shared" si="1"/>
        <v>0</v>
      </c>
      <c r="J12" s="82">
        <f t="shared" si="2"/>
        <v>14040</v>
      </c>
      <c r="K12" s="93">
        <f>'政務調査費出納簿'!Y316</f>
        <v>0</v>
      </c>
    </row>
    <row r="13" spans="2:11" ht="45" customHeight="1">
      <c r="B13" s="69" t="s">
        <v>94</v>
      </c>
      <c r="C13" s="70">
        <f>'政務調査費出納簿'!Q317</f>
        <v>2727</v>
      </c>
      <c r="D13" s="70">
        <f>'政務調査費出納簿'!R317</f>
        <v>0</v>
      </c>
      <c r="E13" s="70">
        <f>'政務調査費出納簿'!S317</f>
        <v>0</v>
      </c>
      <c r="F13" s="70">
        <f>'政務調査費出納簿'!T317</f>
        <v>0</v>
      </c>
      <c r="G13" s="68">
        <f>'政務調査費出納簿'!U317</f>
        <v>9220</v>
      </c>
      <c r="H13" s="68">
        <f t="shared" si="0"/>
        <v>11947</v>
      </c>
      <c r="I13" s="68">
        <f t="shared" si="1"/>
        <v>0</v>
      </c>
      <c r="J13" s="82">
        <f t="shared" si="2"/>
        <v>11947</v>
      </c>
      <c r="K13" s="93">
        <f>'政務調査費出納簿'!Y317</f>
        <v>0</v>
      </c>
    </row>
    <row r="14" spans="2:11" ht="45" customHeight="1">
      <c r="B14" s="69" t="s">
        <v>95</v>
      </c>
      <c r="C14" s="70">
        <f>'政務調査費出納簿'!Q318</f>
        <v>6060</v>
      </c>
      <c r="D14" s="70">
        <f>'政務調査費出納簿'!R318</f>
        <v>0</v>
      </c>
      <c r="E14" s="70">
        <f>'政務調査費出納簿'!S318</f>
        <v>0</v>
      </c>
      <c r="F14" s="70">
        <f>'政務調査費出納簿'!T318</f>
        <v>0</v>
      </c>
      <c r="G14" s="68">
        <f>'政務調査費出納簿'!U318</f>
        <v>6000</v>
      </c>
      <c r="H14" s="68">
        <f t="shared" si="0"/>
        <v>12060</v>
      </c>
      <c r="I14" s="68">
        <f t="shared" si="1"/>
        <v>0</v>
      </c>
      <c r="J14" s="82">
        <f t="shared" si="2"/>
        <v>12060</v>
      </c>
      <c r="K14" s="93">
        <f>'政務調査費出納簿'!Y318</f>
        <v>0</v>
      </c>
    </row>
    <row r="15" spans="2:11" ht="45" customHeight="1">
      <c r="B15" s="69" t="s">
        <v>96</v>
      </c>
      <c r="C15" s="70">
        <f>'政務調査費出納簿'!Q319</f>
        <v>5759</v>
      </c>
      <c r="D15" s="70">
        <f>'政務調査費出納簿'!R319</f>
        <v>0</v>
      </c>
      <c r="E15" s="70">
        <f>'政務調査費出納簿'!S319</f>
        <v>0</v>
      </c>
      <c r="F15" s="70">
        <f>'政務調査費出納簿'!T319</f>
        <v>0</v>
      </c>
      <c r="G15" s="68">
        <f>'政務調査費出納簿'!U319</f>
        <v>6000</v>
      </c>
      <c r="H15" s="68">
        <f t="shared" si="0"/>
        <v>11759</v>
      </c>
      <c r="I15" s="68">
        <f t="shared" si="1"/>
        <v>0</v>
      </c>
      <c r="J15" s="82">
        <f t="shared" si="2"/>
        <v>11759</v>
      </c>
      <c r="K15" s="93">
        <f>'政務調査費出納簿'!Y319</f>
        <v>0</v>
      </c>
    </row>
    <row r="16" spans="2:11" ht="45" customHeight="1">
      <c r="B16" s="69" t="s">
        <v>97</v>
      </c>
      <c r="C16" s="70">
        <f>'政務調査費出納簿'!Q320</f>
        <v>0</v>
      </c>
      <c r="D16" s="70">
        <f>'政務調査費出納簿'!R320</f>
        <v>0</v>
      </c>
      <c r="E16" s="70">
        <f>'政務調査費出納簿'!S320</f>
        <v>0</v>
      </c>
      <c r="F16" s="70">
        <f>'政務調査費出納簿'!T320</f>
        <v>0</v>
      </c>
      <c r="G16" s="68">
        <f>'政務調査費出納簿'!U320</f>
        <v>6000</v>
      </c>
      <c r="H16" s="68">
        <f t="shared" si="0"/>
        <v>6000</v>
      </c>
      <c r="I16" s="68">
        <f t="shared" si="1"/>
        <v>0</v>
      </c>
      <c r="J16" s="82">
        <f t="shared" si="2"/>
        <v>6000</v>
      </c>
      <c r="K16" s="93">
        <f>'政務調査費出納簿'!Y320</f>
        <v>0</v>
      </c>
    </row>
    <row r="17" spans="2:11" ht="45" customHeight="1" thickBot="1">
      <c r="B17" s="71" t="s">
        <v>98</v>
      </c>
      <c r="C17" s="72">
        <f>'政務調査費出納簿'!Q321</f>
        <v>0</v>
      </c>
      <c r="D17" s="72">
        <f>'政務調査費出納簿'!R321</f>
        <v>0</v>
      </c>
      <c r="E17" s="72">
        <f>'政務調査費出納簿'!S321</f>
        <v>33800</v>
      </c>
      <c r="F17" s="72">
        <f>'政務調査費出納簿'!T321</f>
        <v>0</v>
      </c>
      <c r="G17" s="72">
        <f>'政務調査費出納簿'!U321</f>
        <v>9000</v>
      </c>
      <c r="H17" s="72">
        <f t="shared" si="0"/>
        <v>42800</v>
      </c>
      <c r="I17" s="72">
        <f t="shared" si="1"/>
        <v>0</v>
      </c>
      <c r="J17" s="83">
        <f t="shared" si="2"/>
        <v>42800</v>
      </c>
      <c r="K17" s="94">
        <f>'政務調査費出納簿'!Y321</f>
        <v>0</v>
      </c>
    </row>
    <row r="18" spans="2:11" ht="45" customHeight="1" thickBot="1" thickTop="1">
      <c r="B18" s="73" t="s">
        <v>28</v>
      </c>
      <c r="C18" s="74">
        <f aca="true" t="shared" si="3" ref="C18:J18">SUM(C6:C17)</f>
        <v>49193</v>
      </c>
      <c r="D18" s="74">
        <f t="shared" si="3"/>
        <v>19348</v>
      </c>
      <c r="E18" s="74">
        <f t="shared" si="3"/>
        <v>33800</v>
      </c>
      <c r="F18" s="74">
        <f t="shared" si="3"/>
        <v>0</v>
      </c>
      <c r="G18" s="74">
        <f>SUM(G6:G17)</f>
        <v>59220</v>
      </c>
      <c r="H18" s="74">
        <f t="shared" si="0"/>
        <v>161561</v>
      </c>
      <c r="I18" s="74">
        <f t="shared" si="3"/>
        <v>0</v>
      </c>
      <c r="J18" s="84">
        <f t="shared" si="3"/>
        <v>161561</v>
      </c>
      <c r="K18" s="95">
        <f>SUM(K6:K17)</f>
        <v>280</v>
      </c>
    </row>
    <row r="19" spans="2:11" ht="45" customHeight="1" thickBot="1">
      <c r="B19" s="89"/>
      <c r="C19" s="90"/>
      <c r="D19" s="90"/>
      <c r="E19" s="90"/>
      <c r="F19" s="90"/>
      <c r="G19" s="90"/>
      <c r="H19" s="148" t="s">
        <v>118</v>
      </c>
      <c r="I19" s="149"/>
      <c r="J19" s="146">
        <f>J18+K18</f>
        <v>161841</v>
      </c>
      <c r="K19" s="147"/>
    </row>
    <row r="21" spans="3:11" ht="31.5" customHeight="1">
      <c r="C21" s="145" t="s">
        <v>116</v>
      </c>
      <c r="D21" s="145"/>
      <c r="E21" s="145"/>
      <c r="F21" s="145"/>
      <c r="G21" s="145"/>
      <c r="H21" s="145"/>
      <c r="I21" s="145"/>
      <c r="J21" s="145"/>
      <c r="K21" s="145"/>
    </row>
  </sheetData>
  <mergeCells count="5">
    <mergeCell ref="B2:J2"/>
    <mergeCell ref="B3:C3"/>
    <mergeCell ref="C21:K21"/>
    <mergeCell ref="J19:K19"/>
    <mergeCell ref="H19:I19"/>
  </mergeCells>
  <conditionalFormatting sqref="I6:I18">
    <cfRule type="cellIs" priority="1" dxfId="0" operator="greaterThan" stopIfTrue="1">
      <formula>0</formula>
    </cfRule>
  </conditionalFormatting>
  <printOptions/>
  <pageMargins left="0.75" right="0.4" top="1" bottom="1" header="0.512" footer="0.512"/>
  <pageSetup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_RFP1</dc:creator>
  <cp:keywords/>
  <dc:description/>
  <cp:lastModifiedBy>Takahashi</cp:lastModifiedBy>
  <cp:lastPrinted>2007-04-27T06:44:49Z</cp:lastPrinted>
  <dcterms:created xsi:type="dcterms:W3CDTF">2004-10-26T07:36:40Z</dcterms:created>
  <dcterms:modified xsi:type="dcterms:W3CDTF">2007-04-27T06:46:49Z</dcterms:modified>
  <cp:category/>
  <cp:version/>
  <cp:contentType/>
  <cp:contentStatus/>
</cp:coreProperties>
</file>